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270" windowHeight="694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payesh!$A$1:$AR$173</definedName>
  </definedNames>
  <calcPr calcId="162913"/>
</workbook>
</file>

<file path=xl/calcChain.xml><?xml version="1.0" encoding="utf-8"?>
<calcChain xmlns="http://schemas.openxmlformats.org/spreadsheetml/2006/main">
  <c r="S38" i="15" l="1"/>
  <c r="T38" i="15"/>
  <c r="U38" i="15"/>
  <c r="S39" i="15"/>
  <c r="T39" i="15"/>
  <c r="U39" i="15"/>
  <c r="U37" i="15"/>
  <c r="T37" i="15"/>
  <c r="S37" i="15"/>
  <c r="U36" i="15"/>
  <c r="T36" i="15"/>
  <c r="S36" i="15"/>
  <c r="U35" i="15"/>
  <c r="T35" i="15"/>
  <c r="S35" i="15"/>
  <c r="S31" i="15"/>
  <c r="T31" i="15"/>
  <c r="U31" i="15"/>
  <c r="S32" i="15"/>
  <c r="T32" i="15"/>
  <c r="U32" i="15"/>
  <c r="U30" i="15"/>
  <c r="T30" i="15"/>
  <c r="S30" i="15"/>
  <c r="U29" i="15"/>
  <c r="T29" i="15"/>
  <c r="S29" i="15"/>
  <c r="U28" i="15"/>
  <c r="T28" i="15"/>
  <c r="S28" i="15"/>
  <c r="S24" i="15"/>
  <c r="T24" i="15"/>
  <c r="U24" i="15"/>
  <c r="S25" i="15"/>
  <c r="T25" i="15"/>
  <c r="U25" i="15"/>
  <c r="U23" i="15"/>
  <c r="T23" i="15"/>
  <c r="S23" i="15"/>
  <c r="U22" i="15"/>
  <c r="T22" i="15"/>
  <c r="S22" i="15"/>
  <c r="U21" i="15"/>
  <c r="T21" i="15"/>
  <c r="S21" i="15"/>
  <c r="S17" i="15"/>
  <c r="T17" i="15"/>
  <c r="U17" i="15"/>
  <c r="W17" i="15"/>
  <c r="S18" i="15"/>
  <c r="T18" i="15"/>
  <c r="U18" i="15"/>
  <c r="W18" i="15"/>
  <c r="W16" i="15"/>
  <c r="U16" i="15"/>
  <c r="T16" i="15"/>
  <c r="S16" i="15"/>
  <c r="W15" i="15"/>
  <c r="U15" i="15"/>
  <c r="T15" i="15"/>
  <c r="S15" i="15"/>
  <c r="W14" i="15"/>
  <c r="U14" i="15"/>
  <c r="T14" i="15"/>
  <c r="S14" i="15"/>
  <c r="V17" i="15" l="1"/>
  <c r="V18" i="15"/>
  <c r="V16" i="15"/>
  <c r="V15" i="15"/>
  <c r="U40" i="15"/>
  <c r="T40" i="15"/>
  <c r="U33" i="15"/>
  <c r="S33" i="15"/>
  <c r="U26" i="15"/>
  <c r="T26" i="15"/>
  <c r="W19" i="15"/>
  <c r="U19" i="15"/>
  <c r="T19" i="15"/>
  <c r="V14" i="15"/>
  <c r="S40" i="15" l="1"/>
  <c r="S26" i="15"/>
  <c r="T33" i="15"/>
  <c r="V19" i="15"/>
  <c r="S19" i="15"/>
  <c r="T5" i="15" l="1"/>
  <c r="N6" i="15"/>
  <c r="N5" i="15"/>
  <c r="D9" i="15"/>
  <c r="D8" i="15"/>
  <c r="D7" i="15"/>
  <c r="D6" i="15"/>
  <c r="D5" i="15"/>
  <c r="D4" i="15"/>
  <c r="L71" i="12" l="1"/>
  <c r="E30" i="14" l="1"/>
  <c r="T6" i="15" l="1"/>
  <c r="T7" i="15"/>
  <c r="T8" i="15"/>
  <c r="T9" i="15"/>
  <c r="N7"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D7" i="19"/>
  <c r="D8" i="19"/>
  <c r="D9" i="19"/>
  <c r="D10" i="19"/>
  <c r="D11" i="19"/>
  <c r="D6" i="19"/>
  <c r="D5" i="19"/>
  <c r="D4" i="19"/>
  <c r="D3" i="19"/>
  <c r="AX3" i="19"/>
  <c r="AX10" i="19" l="1"/>
  <c r="AX8" i="19"/>
  <c r="AX6" i="19"/>
  <c r="AR11" i="19"/>
  <c r="AR9" i="19"/>
  <c r="AR7" i="19"/>
  <c r="AX11" i="19"/>
  <c r="AR10" i="19"/>
  <c r="AX9" i="19"/>
  <c r="AR8" i="19"/>
  <c r="AX7" i="19"/>
  <c r="AR6" i="19"/>
  <c r="AX12" i="19" l="1"/>
  <c r="AR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E58" i="12"/>
  <c r="D10" i="15" l="1"/>
  <c r="D11" i="15"/>
  <c r="D12" i="15"/>
  <c r="D13" i="15"/>
  <c r="D14" i="15"/>
  <c r="D15" i="15"/>
  <c r="D16" i="15"/>
  <c r="D17" i="15"/>
  <c r="D18" i="15"/>
  <c r="D19" i="15"/>
  <c r="D20" i="15"/>
  <c r="D21" i="15"/>
  <c r="D22" i="15"/>
  <c r="D23" i="15"/>
  <c r="D24" i="15"/>
  <c r="D25" i="15"/>
  <c r="D26" i="15"/>
  <c r="D27" i="15"/>
  <c r="D28" i="15"/>
  <c r="D29" i="15" l="1"/>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E34" i="12"/>
  <c r="E25" i="12" l="1"/>
  <c r="E23" i="14" l="1"/>
  <c r="B8" i="16" l="1"/>
  <c r="B7" i="16"/>
  <c r="B6" i="16"/>
  <c r="B5" i="16"/>
  <c r="B4" i="16"/>
  <c r="E9" i="14"/>
  <c r="E22" i="14"/>
  <c r="AB36" i="13"/>
  <c r="AB37" i="13"/>
  <c r="AB38" i="13"/>
  <c r="AB39" i="13"/>
  <c r="AB40" i="13"/>
  <c r="AB41" i="13"/>
  <c r="AB42" i="13"/>
  <c r="AB43" i="13"/>
  <c r="AC36" i="13"/>
  <c r="AC37" i="13"/>
  <c r="AC38" i="13"/>
  <c r="AC39" i="13"/>
  <c r="AC40" i="13"/>
  <c r="AC41" i="13"/>
  <c r="AC42" i="13"/>
  <c r="AC43" i="13"/>
  <c r="AD36" i="13"/>
  <c r="AD37" i="13"/>
  <c r="AD38" i="13"/>
  <c r="AD39" i="13"/>
  <c r="AD40" i="13"/>
  <c r="AD41" i="13"/>
  <c r="AD42" i="13"/>
  <c r="AD43" i="13"/>
  <c r="AE36" i="13"/>
  <c r="AE37" i="13"/>
  <c r="AE38" i="13"/>
  <c r="AE39" i="13"/>
  <c r="AE40" i="13"/>
  <c r="AE41" i="13"/>
  <c r="AE42" i="13"/>
  <c r="AE43" i="13"/>
  <c r="AF36" i="13"/>
  <c r="AF37" i="13"/>
  <c r="AF38" i="13"/>
  <c r="AF39" i="13"/>
  <c r="AF40" i="13"/>
  <c r="AF41" i="13"/>
  <c r="AF42" i="13"/>
  <c r="AF43" i="13"/>
  <c r="AG36" i="13"/>
  <c r="AG37" i="13"/>
  <c r="AG38" i="13"/>
  <c r="AG39" i="13"/>
  <c r="AG40" i="13"/>
  <c r="AG41" i="13"/>
  <c r="AG42" i="13"/>
  <c r="AG43" i="13"/>
  <c r="AH36" i="13"/>
  <c r="AH37" i="13"/>
  <c r="AH38" i="13"/>
  <c r="AH39" i="13"/>
  <c r="AH40" i="13"/>
  <c r="AH41" i="13"/>
  <c r="AH42" i="13"/>
  <c r="AH43" i="13"/>
  <c r="AI36" i="13"/>
  <c r="AI37" i="13"/>
  <c r="AI38" i="13"/>
  <c r="AI39" i="13"/>
  <c r="AI40" i="13"/>
  <c r="AI41" i="13"/>
  <c r="AI42" i="13"/>
  <c r="AI43" i="13"/>
  <c r="AJ36" i="13"/>
  <c r="AJ37" i="13"/>
  <c r="AJ38" i="13"/>
  <c r="AJ39" i="13"/>
  <c r="AJ40" i="13"/>
  <c r="AJ41" i="13"/>
  <c r="AJ42" i="13"/>
  <c r="AJ43" i="13"/>
  <c r="AK36" i="13"/>
  <c r="AK37" i="13"/>
  <c r="AK38" i="13"/>
  <c r="AK39" i="13"/>
  <c r="AK40" i="13"/>
  <c r="AK41" i="13"/>
  <c r="AK42" i="13"/>
  <c r="AK43"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E57" i="12"/>
  <c r="Q24" i="12" l="1"/>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P24"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U12" i="17" s="1"/>
  <c r="M12" i="17"/>
  <c r="T11"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AA5" i="17"/>
  <c r="AA4" i="17"/>
  <c r="AA3" i="17"/>
  <c r="AA2" i="17"/>
  <c r="K12" i="17"/>
  <c r="J12" i="17"/>
  <c r="I12" i="17"/>
  <c r="G12" i="17"/>
  <c r="Q11" i="17" l="1"/>
  <c r="AV11" i="19" s="1"/>
  <c r="Y11" i="17"/>
  <c r="AZ11" i="19" s="1"/>
  <c r="O11" i="17"/>
  <c r="AT11" i="19" s="1"/>
  <c r="P11" i="17" l="1"/>
  <c r="AU11" i="19" s="1"/>
  <c r="N11" i="17"/>
  <c r="AS11" i="19" s="1"/>
  <c r="X11" i="17"/>
  <c r="X7" i="17"/>
  <c r="AY7" i="19" s="1"/>
  <c r="Y7" i="17"/>
  <c r="AZ7" i="19" s="1"/>
  <c r="Y10" i="17"/>
  <c r="AZ10" i="19" s="1"/>
  <c r="X10" i="17"/>
  <c r="AY10" i="19" s="1"/>
  <c r="Q9" i="17"/>
  <c r="AV9" i="19" s="1"/>
  <c r="N9" i="17"/>
  <c r="AS9" i="19" s="1"/>
  <c r="O9" i="17"/>
  <c r="AT9" i="19" s="1"/>
  <c r="P9" i="17"/>
  <c r="AU9" i="19" s="1"/>
  <c r="X6" i="17"/>
  <c r="AY6" i="19" s="1"/>
  <c r="Y6" i="17"/>
  <c r="AZ6" i="19" s="1"/>
  <c r="Y8" i="17"/>
  <c r="AZ8" i="19" s="1"/>
  <c r="X8" i="17"/>
  <c r="AY8" i="19" s="1"/>
  <c r="W12" i="17"/>
  <c r="O7" i="17"/>
  <c r="AT7" i="19" s="1"/>
  <c r="Q7" i="17"/>
  <c r="AV7" i="19" s="1"/>
  <c r="P7" i="17"/>
  <c r="AU7" i="19" s="1"/>
  <c r="N7" i="17"/>
  <c r="AS7" i="19" s="1"/>
  <c r="N10" i="17"/>
  <c r="AS10" i="19" s="1"/>
  <c r="Q10" i="17"/>
  <c r="AV10" i="19" s="1"/>
  <c r="P10" i="17"/>
  <c r="AU10" i="19" s="1"/>
  <c r="O10" i="17"/>
  <c r="AT10" i="19" s="1"/>
  <c r="Y9" i="17"/>
  <c r="AZ9" i="19" s="1"/>
  <c r="X9" i="17"/>
  <c r="AY9" i="19" s="1"/>
  <c r="P6" i="17"/>
  <c r="AU6" i="19" s="1"/>
  <c r="O6" i="17"/>
  <c r="AT6" i="19" s="1"/>
  <c r="Q6" i="17"/>
  <c r="AV6" i="19" s="1"/>
  <c r="N6" i="17"/>
  <c r="AS6" i="19" s="1"/>
  <c r="P8" i="17"/>
  <c r="AU8" i="19" s="1"/>
  <c r="Q8" i="17"/>
  <c r="AV8" i="19" s="1"/>
  <c r="O8" i="17"/>
  <c r="AT8" i="19" s="1"/>
  <c r="N8" i="17"/>
  <c r="AS8" i="19" s="1"/>
  <c r="AW8" i="19" l="1"/>
  <c r="BA9" i="19"/>
  <c r="BA8" i="19"/>
  <c r="BA10" i="19"/>
  <c r="BA7" i="19"/>
  <c r="AU12" i="19"/>
  <c r="AZ12" i="19"/>
  <c r="AW9" i="19"/>
  <c r="AT12" i="19"/>
  <c r="AW7" i="19"/>
  <c r="AW11" i="19"/>
  <c r="Z11" i="17"/>
  <c r="AY11" i="19"/>
  <c r="BA11" i="19" s="1"/>
  <c r="AS12" i="19"/>
  <c r="AW6" i="19"/>
  <c r="AW10" i="19"/>
  <c r="AV12" i="19"/>
  <c r="BA6" i="19"/>
  <c r="R11" i="17"/>
  <c r="O12" i="17"/>
  <c r="X12" i="17"/>
  <c r="P12" i="17"/>
  <c r="Y12" i="17"/>
  <c r="R8" i="17"/>
  <c r="R6" i="17"/>
  <c r="Z9" i="17"/>
  <c r="R7" i="17"/>
  <c r="Z8" i="17"/>
  <c r="Z10" i="17"/>
  <c r="Q12" i="17"/>
  <c r="R9" i="17"/>
  <c r="R10" i="17"/>
  <c r="Z6" i="17"/>
  <c r="Z7" i="17"/>
  <c r="N12" i="17"/>
  <c r="AW12" i="19" l="1"/>
  <c r="BA12" i="19"/>
  <c r="AY12" i="19"/>
  <c r="R12" i="17"/>
  <c r="Z12" i="17"/>
  <c r="H17" i="15" l="1"/>
  <c r="H4" i="15"/>
  <c r="H23" i="15"/>
  <c r="H22" i="15"/>
  <c r="H21" i="15"/>
  <c r="H20" i="15"/>
  <c r="H19" i="15"/>
  <c r="H18" i="15"/>
  <c r="H16" i="15"/>
  <c r="H15" i="15"/>
  <c r="H14" i="15"/>
  <c r="H13" i="15"/>
  <c r="H12" i="15"/>
  <c r="H11" i="15"/>
  <c r="H10" i="15"/>
  <c r="H9" i="15"/>
  <c r="H8" i="15"/>
  <c r="H7" i="15"/>
  <c r="H6" i="15"/>
  <c r="H5" i="15"/>
  <c r="H24" i="15" l="1"/>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44" i="16" l="1"/>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43" i="13" l="1"/>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AA40" i="13"/>
  <c r="AA41" i="13"/>
  <c r="AA42" i="13"/>
  <c r="AA43"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43" i="13" l="1"/>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42" i="13"/>
  <c r="V43"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43"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41" i="13"/>
  <c r="N42" i="16" s="1"/>
  <c r="R42" i="13"/>
  <c r="N43" i="16" s="1"/>
  <c r="R43" i="13"/>
  <c r="N44"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N43" i="13" l="1"/>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F43" i="13" l="1"/>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F7" i="12" l="1"/>
  <c r="E3" i="19" s="1"/>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K71" i="12"/>
  <c r="J71" i="12"/>
  <c r="I71" i="12"/>
  <c r="H71" i="12"/>
  <c r="G71" i="12"/>
  <c r="F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G7" i="12"/>
  <c r="G131" i="12"/>
  <c r="I131" i="12"/>
  <c r="K131" i="12"/>
  <c r="F131" i="12"/>
  <c r="H131" i="12"/>
  <c r="J131" i="12"/>
  <c r="L131" i="12"/>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E60" i="12"/>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C2" i="17" l="1"/>
  <c r="F3" i="19"/>
  <c r="E62" i="12"/>
  <c r="E132" i="12" s="1"/>
  <c r="AO132" i="12"/>
  <c r="P41" i="16"/>
  <c r="AK132" i="12"/>
  <c r="P37" i="16"/>
  <c r="AG132" i="12"/>
  <c r="P33" i="16"/>
  <c r="AC132" i="12"/>
  <c r="P29" i="16"/>
  <c r="Y132" i="12"/>
  <c r="P25" i="16"/>
  <c r="U132" i="12"/>
  <c r="P21" i="16"/>
  <c r="Q132" i="12"/>
  <c r="P17" i="16"/>
  <c r="M132" i="12"/>
  <c r="P13" i="16"/>
  <c r="I132" i="12"/>
  <c r="P9" i="16"/>
  <c r="AP132" i="12"/>
  <c r="P42" i="16"/>
  <c r="AL132" i="12"/>
  <c r="P38" i="16"/>
  <c r="AH132" i="12"/>
  <c r="P34" i="16"/>
  <c r="AD132" i="12"/>
  <c r="P30" i="16"/>
  <c r="Z132" i="12"/>
  <c r="P26" i="16"/>
  <c r="V132" i="12"/>
  <c r="P22" i="16"/>
  <c r="R132" i="12"/>
  <c r="P18" i="16"/>
  <c r="N132" i="12"/>
  <c r="P14" i="16"/>
  <c r="J132" i="12"/>
  <c r="P10" i="16"/>
  <c r="F132" i="12"/>
  <c r="P6" i="16"/>
  <c r="AQ132" i="12"/>
  <c r="P43" i="16"/>
  <c r="AM132" i="12"/>
  <c r="P39" i="16"/>
  <c r="AI132" i="12"/>
  <c r="P35" i="16"/>
  <c r="AE132" i="12"/>
  <c r="P31" i="16"/>
  <c r="AA132" i="12"/>
  <c r="P27" i="16"/>
  <c r="W132" i="12"/>
  <c r="P23" i="16"/>
  <c r="S132" i="12"/>
  <c r="P19" i="16"/>
  <c r="O132" i="12"/>
  <c r="P15" i="16"/>
  <c r="K132" i="12"/>
  <c r="P11" i="16"/>
  <c r="G132" i="12"/>
  <c r="P7" i="16"/>
  <c r="AR132" i="12"/>
  <c r="P44" i="16"/>
  <c r="AN132" i="12"/>
  <c r="P40" i="16"/>
  <c r="AJ132" i="12"/>
  <c r="P36" i="16"/>
  <c r="AF132" i="12"/>
  <c r="P32" i="16"/>
  <c r="AB132" i="12"/>
  <c r="P28" i="16"/>
  <c r="X132" i="12"/>
  <c r="P24" i="16"/>
  <c r="T132" i="12"/>
  <c r="P20" i="16"/>
  <c r="P132" i="12"/>
  <c r="P16" i="16"/>
  <c r="L132" i="12"/>
  <c r="P12" i="16"/>
  <c r="H132" i="12"/>
  <c r="P8" i="16"/>
  <c r="H7" i="12"/>
  <c r="B6" i="13"/>
  <c r="D7" i="16" s="1"/>
  <c r="C29" i="15"/>
  <c r="AD2" i="17" l="1"/>
  <c r="G3" i="19"/>
  <c r="P5" i="16"/>
  <c r="B7" i="13"/>
  <c r="D8" i="16" s="1"/>
  <c r="I7" i="12"/>
  <c r="AE2" i="17" l="1"/>
  <c r="H3" i="19"/>
  <c r="J7" i="12"/>
  <c r="B8" i="13"/>
  <c r="D9" i="16" s="1"/>
  <c r="W40" i="13"/>
  <c r="W41" i="13"/>
  <c r="W42" i="13"/>
  <c r="W43"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K7" i="12"/>
  <c r="B9" i="13"/>
  <c r="D10" i="16" s="1"/>
  <c r="K38" i="13"/>
  <c r="K39" i="13"/>
  <c r="K40" i="13"/>
  <c r="K41" i="13"/>
  <c r="K42" i="13"/>
  <c r="K43"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41" i="13"/>
  <c r="J42" i="13"/>
  <c r="J43"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38" i="13"/>
  <c r="I39" i="13"/>
  <c r="I40" i="13"/>
  <c r="I41" i="13"/>
  <c r="I42" i="13"/>
  <c r="I43"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43"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40" i="13"/>
  <c r="G41" i="16" s="1"/>
  <c r="E41" i="13"/>
  <c r="G42" i="16" s="1"/>
  <c r="E42" i="13"/>
  <c r="G43" i="16" s="1"/>
  <c r="E43" i="13"/>
  <c r="G44"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G7" i="16"/>
  <c r="G6" i="16"/>
  <c r="G5" i="16"/>
  <c r="L7" i="12"/>
  <c r="B10" i="13"/>
  <c r="D11" i="16" s="1"/>
  <c r="AH2" i="17" l="1"/>
  <c r="K3" i="19"/>
  <c r="M7" i="12"/>
  <c r="B11" i="13"/>
  <c r="D12" i="16" s="1"/>
  <c r="AR27" i="12"/>
  <c r="AQ27" i="12"/>
  <c r="AP27" i="12"/>
  <c r="AO27" i="12"/>
  <c r="AN27" i="12"/>
  <c r="AM27" i="12"/>
  <c r="AL27" i="12"/>
  <c r="AK27" i="12"/>
  <c r="AJ27" i="12"/>
  <c r="AI27" i="12"/>
  <c r="AR25" i="12"/>
  <c r="AQ25" i="12"/>
  <c r="AP25" i="12"/>
  <c r="AO25" i="12"/>
  <c r="AN25" i="12"/>
  <c r="AM25" i="12"/>
  <c r="AL25" i="12"/>
  <c r="AK25" i="12"/>
  <c r="AJ25" i="12"/>
  <c r="AI25" i="12"/>
  <c r="AI2" i="17" l="1"/>
  <c r="L3" i="19"/>
  <c r="N7" i="12"/>
  <c r="B12" i="13"/>
  <c r="D13" i="16" s="1"/>
  <c r="AJ2" i="17" l="1"/>
  <c r="M3" i="19"/>
  <c r="O7" i="12"/>
  <c r="B13" i="13"/>
  <c r="D14" i="16" s="1"/>
  <c r="AH27" i="12"/>
  <c r="AG27" i="12"/>
  <c r="AF27" i="12"/>
  <c r="AE27" i="12"/>
  <c r="AD27" i="12"/>
  <c r="AC27" i="12"/>
  <c r="AB27" i="12"/>
  <c r="AA27" i="12"/>
  <c r="Z27" i="12"/>
  <c r="Y27" i="12"/>
  <c r="AH25" i="12"/>
  <c r="AG25" i="12"/>
  <c r="AF25" i="12"/>
  <c r="AE25" i="12"/>
  <c r="AD25" i="12"/>
  <c r="AC25" i="12"/>
  <c r="AB25" i="12"/>
  <c r="AA25" i="12"/>
  <c r="Z25" i="12"/>
  <c r="Y25" i="12"/>
  <c r="AK2" i="17" l="1"/>
  <c r="N3" i="19"/>
  <c r="P7" i="12"/>
  <c r="B14" i="13"/>
  <c r="D15" i="16" s="1"/>
  <c r="E24" i="12"/>
  <c r="AL2" i="17" l="1"/>
  <c r="O3" i="19"/>
  <c r="Q7" i="12"/>
  <c r="B15" i="13"/>
  <c r="D16" i="16" s="1"/>
  <c r="F24" i="12"/>
  <c r="G24" i="12"/>
  <c r="H24" i="12"/>
  <c r="I24" i="12"/>
  <c r="J24" i="12"/>
  <c r="K24" i="12"/>
  <c r="L24" i="12"/>
  <c r="M24" i="12"/>
  <c r="N24" i="12"/>
  <c r="O24" i="12"/>
  <c r="H27" i="12"/>
  <c r="AM2" i="17" l="1"/>
  <c r="P3" i="19"/>
  <c r="R7" i="12"/>
  <c r="B16" i="13"/>
  <c r="D17" i="16" s="1"/>
  <c r="N25" i="12"/>
  <c r="AN2" i="17" l="1"/>
  <c r="Q3" i="19"/>
  <c r="S7" i="12"/>
  <c r="B17" i="13"/>
  <c r="D18" i="16" s="1"/>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T7" i="12"/>
  <c r="B18" i="13"/>
  <c r="D19" i="16" s="1"/>
  <c r="E27" i="12"/>
  <c r="AP2" i="17" l="1"/>
  <c r="S3" i="19"/>
  <c r="U7" i="12"/>
  <c r="B19" i="13"/>
  <c r="D20" i="16" s="1"/>
  <c r="F27" i="12"/>
  <c r="G27" i="12"/>
  <c r="I27" i="12"/>
  <c r="J27" i="12"/>
  <c r="K27" i="12"/>
  <c r="L27" i="12"/>
  <c r="F25" i="12"/>
  <c r="G25" i="12"/>
  <c r="H25" i="12"/>
  <c r="I25" i="12"/>
  <c r="J25" i="12"/>
  <c r="K25" i="12"/>
  <c r="L25" i="12"/>
  <c r="AQ2" i="17" l="1"/>
  <c r="T3" i="19"/>
  <c r="V7" i="12"/>
  <c r="B20" i="13"/>
  <c r="D21" i="16" s="1"/>
  <c r="AR2" i="17" l="1"/>
  <c r="U3" i="19"/>
  <c r="W7" i="12"/>
  <c r="B21" i="13"/>
  <c r="D22" i="16" s="1"/>
  <c r="AS2" i="17" l="1"/>
  <c r="V3" i="19"/>
  <c r="X7" i="12"/>
  <c r="B22" i="13"/>
  <c r="D23" i="16" s="1"/>
  <c r="AT2" i="17" l="1"/>
  <c r="W3" i="19"/>
  <c r="Y7" i="12"/>
  <c r="B23" i="13"/>
  <c r="D24" i="16" s="1"/>
  <c r="AU2" i="17" l="1"/>
  <c r="X3" i="19"/>
  <c r="Z7" i="12"/>
  <c r="B24" i="13"/>
  <c r="D25" i="16" s="1"/>
  <c r="AV2" i="17" l="1"/>
  <c r="Y3" i="19"/>
  <c r="AA7" i="12"/>
  <c r="B25" i="13"/>
  <c r="D26" i="16" s="1"/>
  <c r="AW2" i="17" l="1"/>
  <c r="Z3" i="19"/>
  <c r="AB7" i="12"/>
  <c r="B26" i="13"/>
  <c r="D27" i="16" s="1"/>
  <c r="AX2" i="17" l="1"/>
  <c r="AA3" i="19"/>
  <c r="AC7" i="12"/>
  <c r="B27" i="13"/>
  <c r="D28" i="16" s="1"/>
  <c r="AY2" i="17" l="1"/>
  <c r="AB3" i="19"/>
  <c r="AD7" i="12"/>
  <c r="B28" i="13"/>
  <c r="D29" i="16" s="1"/>
  <c r="AZ2" i="17" l="1"/>
  <c r="AC3" i="19"/>
  <c r="AE7" i="12"/>
  <c r="B29" i="13"/>
  <c r="D30" i="16" s="1"/>
  <c r="BA2" i="17" l="1"/>
  <c r="AD3" i="19"/>
  <c r="AF7" i="12"/>
  <c r="B30" i="13"/>
  <c r="D31" i="16" s="1"/>
  <c r="BB2" i="17" l="1"/>
  <c r="AE3" i="19"/>
  <c r="AG7" i="12"/>
  <c r="B31" i="13"/>
  <c r="D32" i="16" s="1"/>
  <c r="BC2" i="17" l="1"/>
  <c r="AF3" i="19"/>
  <c r="AH7" i="12"/>
  <c r="B32" i="13"/>
  <c r="D33" i="16" s="1"/>
  <c r="BD2" i="17" l="1"/>
  <c r="AG3" i="19"/>
  <c r="AI7" i="12"/>
  <c r="B33" i="13"/>
  <c r="D34" i="16" s="1"/>
  <c r="BE2" i="17" l="1"/>
  <c r="AH3" i="19"/>
  <c r="AJ7" i="12"/>
  <c r="B34" i="13"/>
  <c r="D35" i="16" s="1"/>
  <c r="BF2" i="17" l="1"/>
  <c r="AI3" i="19"/>
  <c r="AK7" i="12"/>
  <c r="B35" i="13"/>
  <c r="D36" i="16" s="1"/>
  <c r="BG2" i="17" l="1"/>
  <c r="AJ3" i="19"/>
  <c r="AL7" i="12"/>
  <c r="B36" i="13"/>
  <c r="D37" i="16" s="1"/>
  <c r="BH2" i="17" l="1"/>
  <c r="AK3" i="19"/>
  <c r="AM7" i="12"/>
  <c r="B37" i="13"/>
  <c r="D38" i="16" s="1"/>
  <c r="BI2" i="17" l="1"/>
  <c r="AL3" i="19"/>
  <c r="AN7" i="12"/>
  <c r="B38" i="13"/>
  <c r="D39" i="16" s="1"/>
  <c r="BJ2" i="17" l="1"/>
  <c r="AM3" i="19"/>
  <c r="AO7" i="12"/>
  <c r="B39" i="13"/>
  <c r="D40" i="16" s="1"/>
  <c r="BK2" i="17" l="1"/>
  <c r="AN3" i="19"/>
  <c r="AP7" i="12"/>
  <c r="B40" i="13"/>
  <c r="D41" i="16" s="1"/>
  <c r="BL2" i="17" l="1"/>
  <c r="AO3" i="19"/>
  <c r="AQ7" i="12"/>
  <c r="B41" i="13"/>
  <c r="D42" i="16" s="1"/>
  <c r="BM2" i="17" l="1"/>
  <c r="AP3" i="19"/>
  <c r="AR7" i="12"/>
  <c r="B42" i="13"/>
  <c r="D43" i="16" s="1"/>
  <c r="BN2" i="17" l="1"/>
  <c r="AQ3" i="19"/>
  <c r="B43" i="13"/>
  <c r="D44" i="16" s="1"/>
  <c r="E17" i="14" l="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<sst xmlns="http://schemas.openxmlformats.org/spreadsheetml/2006/main" count="1473" uniqueCount="622">
  <si>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</si>
  <si>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</si>
  <si>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</si>
  <si>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</si>
  <si>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</si>
  <si>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</si>
  <si>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</si>
  <si>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</si>
  <si>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</si>
  <si>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</si>
  <si>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</si>
  <si>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</si>
  <si>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</si>
  <si>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</si>
  <si>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</si>
  <si>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</si>
  <si>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</si>
  <si>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</si>
  <si>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</si>
  <si>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</si>
  <si>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</si>
  <si>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</si>
  <si>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</si>
  <si>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</si>
  <si>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</si>
  <si>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</si>
  <si>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</si>
  <si>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</si>
  <si>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</si>
  <si>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</si>
  <si>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</si>
  <si>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</si>
  <si>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</si>
  <si>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</si>
  <si>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</si>
  <si>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</si>
  <si>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</si>
  <si>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</si>
  <si>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</si>
  <si>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</si>
  <si>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</si>
  <si>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</si>
  <si>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</si>
  <si>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</si>
  <si>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</si>
  <si>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</si>
  <si>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</si>
  <si>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</si>
  <si>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</si>
  <si>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</si>
  <si>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</si>
  <si>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</si>
  <si>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</si>
  <si>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</si>
  <si>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</si>
  <si>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</si>
  <si>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</si>
  <si>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</si>
  <si>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</si>
  <si>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</si>
  <si>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</si>
  <si>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</si>
  <si>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</si>
  <si>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</si>
  <si>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</si>
  <si>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</si>
  <si>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</si>
  <si>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</si>
  <si>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</si>
  <si>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</si>
  <si>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</si>
  <si>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</si>
  <si>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</si>
  <si>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</si>
  <si>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</si>
  <si>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</si>
  <si>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</si>
  <si>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</si>
  <si>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</si>
  <si>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</si>
  <si>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</si>
  <si>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</si>
  <si>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</si>
  <si>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</si>
  <si>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</si>
  <si>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</si>
  <si>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</si>
  <si>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</si>
  <si>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</si>
  <si>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</si>
  <si>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</si>
  <si>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</si>
  <si>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</si>
  <si>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</si>
  <si>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</si>
  <si>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</si>
  <si>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</si>
  <si>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</si>
  <si>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</si>
  <si>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</si>
  <si>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</si>
  <si>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</si>
  <si>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</si>
  <si>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</si>
  <si>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</si>
  <si>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</si>
  <si>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</si>
  <si>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</si>
  <si>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</si>
  <si>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</si>
  <si>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</si>
  <si>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</si>
  <si>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</si>
  <si>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</si>
  <si>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</si>
  <si>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</si>
  <si>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</si>
  <si>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</si>
  <si>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</si>
  <si>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</si>
  <si>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</si>
  <si>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</si>
  <si>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</si>
  <si>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</si>
  <si>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</si>
  <si>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</si>
  <si>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</si>
  <si>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</si>
  <si>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</si>
  <si>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</si>
  <si>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</si>
  <si>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</si>
  <si>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</si>
  <si>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</si>
  <si>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</si>
  <si>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</si>
  <si>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</si>
  <si>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</si>
  <si>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</si>
  <si>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</si>
  <si>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</si>
  <si>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</si>
  <si>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</si>
  <si>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</si>
  <si>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</si>
  <si>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</si>
  <si>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</si>
  <si>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</si>
  <si>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</si>
  <si>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</si>
  <si>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</si>
  <si>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</si>
  <si>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</si>
  <si>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</si>
  <si>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</si>
  <si>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</si>
  <si>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</si>
  <si>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</si>
  <si>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</si>
  <si>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</si>
  <si>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</si>
  <si>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</si>
  <si>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</si>
  <si>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</si>
  <si>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</si>
  <si>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</si>
  <si>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</si>
  <si>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</si>
  <si>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</si>
  <si>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</si>
  <si>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</si>
  <si>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</si>
  <si>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</si>
  <si>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</si>
  <si>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</si>
  <si>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</si>
  <si>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</si>
  <si>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</si>
  <si>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</si>
  <si>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</si>
  <si>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</si>
  <si>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</si>
  <si>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</si>
  <si>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</si>
  <si>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</si>
  <si>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</si>
  <si>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</si>
  <si>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</si>
  <si>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</si>
  <si>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</si>
  <si>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</si>
  <si>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</si>
  <si>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</si>
  <si>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</si>
  <si>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</si>
  <si>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</si>
  <si>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</si>
  <si>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</si>
  <si>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</si>
  <si>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</si>
  <si>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</si>
  <si>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</si>
  <si>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</si>
  <si>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</si>
  <si>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</si>
  <si>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</si>
  <si>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</si>
  <si>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</si>
  <si>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</si>
  <si>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</si>
  <si>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</si>
  <si>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</si>
  <si>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</si>
  <si>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</si>
  <si>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</si>
  <si>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</si>
  <si>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</si>
  <si>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</si>
  <si>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</si>
  <si>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</si>
  <si>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</si>
  <si>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</si>
  <si>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</si>
  <si>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</si>
  <si>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</si>
  <si>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</si>
  <si>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</si>
  <si>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</si>
  <si>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</si>
  <si>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</si>
  <si>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</si>
  <si>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</si>
  <si>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</si>
  <si>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</si>
  <si>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</si>
  <si>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</si>
  <si>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</si>
  <si>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</si>
  <si>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</si>
  <si>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</si>
  <si>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</si>
  <si>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</si>
  <si>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</si>
  <si>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</si>
  <si>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</si>
  <si>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</si>
  <si>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</si>
  <si>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</si>
  <si>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</si>
  <si>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</si>
  <si>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</si>
  <si>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</si>
  <si>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</si>
  <si>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</si>
  <si>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</si>
  <si>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</si>
  <si>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</si>
  <si>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</si>
  <si>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</si>
  <si>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</si>
  <si>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</si>
  <si>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</si>
  <si>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</si>
  <si>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</si>
  <si>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</si>
  <si>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</si>
  <si>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</si>
  <si>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</si>
  <si>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</si>
  <si>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</si>
  <si>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</si>
  <si>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</si>
  <si>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</si>
  <si>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</si>
  <si>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</si>
  <si>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</si>
  <si>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</si>
  <si>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</si>
  <si>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</si>
  <si>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</si>
  <si>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</si>
  <si>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</si>
  <si>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</si>
  <si>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</si>
  <si>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</si>
  <si>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</si>
  <si>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</si>
  <si>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</si>
  <si>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</si>
  <si>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</si>
  <si>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</si>
  <si>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</si>
  <si>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</si>
  <si>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</si>
  <si>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</si>
  <si>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</si>
  <si>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</si>
  <si>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</si>
  <si>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</si>
  <si>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</si>
  <si>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</si>
  <si>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</si>
  <si>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</si>
  <si>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</si>
  <si>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</si>
  <si>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</si>
  <si>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</si>
  <si>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</si>
  <si>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</si>
  <si>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</si>
  <si>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</si>
  <si>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</si>
  <si>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</si>
  <si>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</si>
  <si>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</si>
  <si>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</si>
  <si>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</si>
  <si>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</si>
  <si>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</si>
  <si>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</si>
  <si>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</si>
  <si>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</si>
  <si>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</si>
  <si>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</si>
  <si>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</si>
  <si>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</si>
  <si>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</si>
  <si>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</si>
  <si>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</si>
  <si>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</si>
  <si>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</si>
  <si>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</si>
  <si>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</si>
  <si>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</si>
  <si>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</si>
  <si>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</si>
  <si>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</si>
  <si>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</si>
  <si>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</si>
  <si>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</si>
  <si>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</si>
  <si>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</si>
  <si>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</si>
  <si>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</si>
  <si>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</si>
  <si>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</si>
  <si>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</si>
  <si>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</si>
  <si>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</si>
  <si>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</si>
  <si>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</si>
  <si>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</si>
  <si>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</si>
  <si>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</si>
  <si>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</si>
  <si>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</si>
  <si>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</si>
  <si>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</si>
  <si>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</si>
  <si>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</si>
  <si>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</si>
  <si>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</si>
  <si>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</si>
  <si>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</si>
  <si>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</si>
  <si>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</si>
  <si>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</si>
  <si>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</si>
  <si>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</si>
  <si>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</si>
  <si>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</si>
  <si>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</si>
  <si>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</si>
  <si>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</si>
  <si>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</si>
  <si>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</si>
  <si>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</si>
  <si>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</si>
  <si>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</si>
  <si>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</si>
  <si>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</si>
  <si>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</si>
  <si>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</si>
  <si>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</si>
  <si>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</si>
  <si>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</si>
  <si>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</si>
  <si>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</si>
  <si>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</si>
  <si>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</si>
  <si>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</si>
  <si>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</si>
  <si>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</si>
  <si>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</si>
  <si>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</si>
  <si>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</si>
  <si>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</si>
  <si>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</si>
  <si>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</si>
  <si>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</si>
  <si>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</si>
  <si>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</si>
  <si>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</si>
  <si>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</si>
  <si>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</si>
  <si>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</si>
  <si>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</si>
  <si>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</si>
  <si>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</si>
  <si>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</si>
  <si>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</si>
  <si>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</si>
  <si>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</si>
  <si>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</si>
  <si>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</si>
  <si>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</si>
  <si>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</si>
  <si>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</si>
  <si>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</si>
  <si>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</si>
  <si>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</si>
  <si>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</si>
  <si>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</si>
  <si>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</si>
  <si>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</si>
  <si>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</si>
  <si>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</si>
  <si>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</si>
  <si>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</si>
  <si>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</si>
  <si>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</si>
  <si>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</si>
  <si>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</si>
  <si>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</si>
  <si>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</si>
  <si>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</si>
  <si>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ایلام</t>
  </si>
  <si>
    <t xml:space="preserve">ایلام </t>
  </si>
  <si>
    <t>ابدانان</t>
  </si>
  <si>
    <t>آبدانان</t>
  </si>
  <si>
    <t>سرابباغ</t>
  </si>
  <si>
    <t>ژیور</t>
  </si>
  <si>
    <t>بانکت</t>
  </si>
  <si>
    <t>هفت چشمه</t>
  </si>
  <si>
    <t>چم کبود</t>
  </si>
  <si>
    <t>پوپک</t>
  </si>
  <si>
    <t>شیرین بانو</t>
  </si>
  <si>
    <t>نرگس</t>
  </si>
  <si>
    <t>ارکیده</t>
  </si>
  <si>
    <t>هانا</t>
  </si>
  <si>
    <t>شاپرک</t>
  </si>
  <si>
    <t>بهار</t>
  </si>
  <si>
    <t>شفق</t>
  </si>
  <si>
    <t>گلبرگ</t>
  </si>
  <si>
    <t>ستایش</t>
  </si>
  <si>
    <t>پونه</t>
  </si>
  <si>
    <t>نگین</t>
  </si>
  <si>
    <t>باران</t>
  </si>
  <si>
    <t>گل مریم</t>
  </si>
  <si>
    <t>آوا</t>
  </si>
  <si>
    <t>فعال</t>
  </si>
  <si>
    <t xml:space="preserve"> ترابی</t>
  </si>
  <si>
    <t>کلینیک حضرت زینب</t>
  </si>
  <si>
    <t>زینب دارابیان</t>
  </si>
  <si>
    <t>معصومه سبزواری</t>
  </si>
  <si>
    <t>فرزانه نوروزی</t>
  </si>
  <si>
    <t>93/1/28</t>
  </si>
  <si>
    <t>93/1/30</t>
  </si>
  <si>
    <t>94/10/19</t>
  </si>
  <si>
    <t>94/12/27</t>
  </si>
  <si>
    <t>93/3/28</t>
  </si>
  <si>
    <t>93/3/11</t>
  </si>
  <si>
    <t>93/7/22</t>
  </si>
  <si>
    <t>93/9/5</t>
  </si>
  <si>
    <t>93/9/8</t>
  </si>
  <si>
    <t>93/10/25</t>
  </si>
  <si>
    <t>93/10/17</t>
  </si>
  <si>
    <t>95/1/7</t>
  </si>
  <si>
    <t>95/4/2</t>
  </si>
  <si>
    <t>زهره سبزواری</t>
  </si>
  <si>
    <t>زینب چابک</t>
  </si>
  <si>
    <t>احترام میرعلیخانی</t>
  </si>
  <si>
    <t>زهرا نوروزی</t>
  </si>
  <si>
    <t>فریبا غلامی</t>
  </si>
  <si>
    <t>شهلا رحمی</t>
  </si>
  <si>
    <t>فریبا خلفی</t>
  </si>
  <si>
    <t>کبری عزیزی</t>
  </si>
  <si>
    <t>مهری عزیزی</t>
  </si>
  <si>
    <t>بتول طاهری زاده</t>
  </si>
  <si>
    <t>زکیه حاصلی</t>
  </si>
  <si>
    <t>زهرا مقدمی اصل</t>
  </si>
  <si>
    <t>مهناز عبدی تبار</t>
  </si>
  <si>
    <t>فرزانه سیاحی</t>
  </si>
  <si>
    <t>فرزانه رییسی</t>
  </si>
  <si>
    <t>فاطمه نیک ÷ور</t>
  </si>
  <si>
    <t>سکینه خانمحمدی</t>
  </si>
  <si>
    <t>لیلا مرادی</t>
  </si>
  <si>
    <t>شاهی طلا یاری</t>
  </si>
  <si>
    <t>فهیمه غلامی</t>
  </si>
  <si>
    <t>ثنا نورصیدی</t>
  </si>
  <si>
    <t>فاطمه آبسالان</t>
  </si>
  <si>
    <t>طاهره رئیسی</t>
  </si>
  <si>
    <t>فاطمه غارتی</t>
  </si>
  <si>
    <t>معصومه سروالی</t>
  </si>
  <si>
    <t>فاطمه عمانی</t>
  </si>
  <si>
    <t>زینت رحیمی</t>
  </si>
  <si>
    <t>فریده کریمی</t>
  </si>
  <si>
    <t>زینب غلامی</t>
  </si>
  <si>
    <t>زلیخا مرادی</t>
  </si>
  <si>
    <t>ستاره خلفیان</t>
  </si>
  <si>
    <t xml:space="preserve">فاطمه عزیزی </t>
  </si>
  <si>
    <t>خدیجه کولیوندی</t>
  </si>
  <si>
    <t>راضیه رئیسی</t>
  </si>
  <si>
    <t>مهتاب غارتی</t>
  </si>
  <si>
    <t>مریم ارزانی نژاد</t>
  </si>
  <si>
    <t>قوی</t>
  </si>
  <si>
    <t>متوسط</t>
  </si>
  <si>
    <t xml:space="preserve">متوسط   </t>
  </si>
  <si>
    <t>ندارد</t>
  </si>
  <si>
    <t>ندارذ</t>
  </si>
  <si>
    <t>تشکیل نشده</t>
  </si>
  <si>
    <t>ماهانه</t>
  </si>
  <si>
    <t>مرتب</t>
  </si>
  <si>
    <t>دارد</t>
  </si>
  <si>
    <t>26 هرماه</t>
  </si>
  <si>
    <t>9ام هرماه</t>
  </si>
  <si>
    <t>30 هر ماه</t>
  </si>
  <si>
    <t>29هرماه</t>
  </si>
  <si>
    <t>28هرماه</t>
  </si>
  <si>
    <t>28 هرماه</t>
  </si>
  <si>
    <t>27هرماه</t>
  </si>
  <si>
    <t>انجام شده</t>
  </si>
  <si>
    <t>بی نقض</t>
  </si>
  <si>
    <t>93/4/29</t>
  </si>
  <si>
    <t>95/4/1</t>
  </si>
  <si>
    <t>95/3/31</t>
  </si>
  <si>
    <t>93/9/3</t>
  </si>
  <si>
    <t>94/3/2</t>
  </si>
  <si>
    <t>94/2/9</t>
  </si>
  <si>
    <t>93/10/24</t>
  </si>
  <si>
    <t>94/6/21</t>
  </si>
  <si>
    <t>95/4/17</t>
  </si>
  <si>
    <t>94/6/14</t>
  </si>
  <si>
    <t>93/7/25</t>
  </si>
  <si>
    <t>93/7/30</t>
  </si>
  <si>
    <t>93/8/1</t>
  </si>
  <si>
    <t>95/2/2</t>
  </si>
  <si>
    <t>93/10/27</t>
  </si>
  <si>
    <t>94/2/28</t>
  </si>
  <si>
    <t>94/2/30</t>
  </si>
  <si>
    <t>94/6/24</t>
  </si>
  <si>
    <t>93/8/19</t>
  </si>
  <si>
    <t>94/2/29</t>
  </si>
  <si>
    <t>94/6/2</t>
  </si>
  <si>
    <t>94/9/1</t>
  </si>
  <si>
    <t>94/12/12</t>
  </si>
  <si>
    <t>94/12/5</t>
  </si>
  <si>
    <t>95/5/31</t>
  </si>
  <si>
    <t>95/5/11</t>
  </si>
  <si>
    <t>94/7/22</t>
  </si>
  <si>
    <t>96//6/5</t>
  </si>
  <si>
    <t>نداشته</t>
  </si>
  <si>
    <t>96/6/5</t>
  </si>
  <si>
    <t>95/12/5</t>
  </si>
  <si>
    <t>95/6/31</t>
  </si>
  <si>
    <t>95/7/22</t>
  </si>
  <si>
    <t>ت4</t>
  </si>
  <si>
    <t>95/6/22</t>
  </si>
  <si>
    <t>6000000</t>
  </si>
  <si>
    <t>95/9/3</t>
  </si>
  <si>
    <t>ايلام</t>
  </si>
  <si>
    <t>افتاب</t>
  </si>
  <si>
    <t>ترابي</t>
  </si>
  <si>
    <t>95/8/20</t>
  </si>
  <si>
    <t>96/8/15</t>
  </si>
  <si>
    <t>فاطمه مرادی</t>
  </si>
  <si>
    <t>هدیه رحمتی</t>
  </si>
  <si>
    <t>اقدس مرادی</t>
  </si>
  <si>
    <t>زهرا سبزواری</t>
  </si>
  <si>
    <t>سکینه حیدری</t>
  </si>
  <si>
    <t>فریده مرادی پور</t>
  </si>
  <si>
    <t>عفت رضایی</t>
  </si>
  <si>
    <t>طاهره چناری</t>
  </si>
  <si>
    <t>پشت قلعه</t>
  </si>
  <si>
    <t>دریا</t>
  </si>
  <si>
    <t>95/9/2</t>
  </si>
  <si>
    <t>سکینه چنان</t>
  </si>
  <si>
    <t>حنیفه سپهوند</t>
  </si>
  <si>
    <t>سعیده نصوری</t>
  </si>
  <si>
    <t>انجام نشده</t>
  </si>
  <si>
    <t>شکوفه</t>
  </si>
  <si>
    <t>ترابی</t>
  </si>
  <si>
    <t>95/8/27</t>
  </si>
  <si>
    <t>پ7</t>
  </si>
  <si>
    <t>حنیفه لطفی زاده</t>
  </si>
  <si>
    <t>زینب دیناروند</t>
  </si>
  <si>
    <t>نصرت جعفری</t>
  </si>
  <si>
    <t>افق</t>
  </si>
  <si>
    <t>95/8/28</t>
  </si>
  <si>
    <t>زهرا مرادی</t>
  </si>
  <si>
    <t>فاطمه ازادی نسب</t>
  </si>
  <si>
    <t>فرشته ایمانی نژاد</t>
  </si>
  <si>
    <t>مهتاب</t>
  </si>
  <si>
    <t>عاطفه  اعتمادی</t>
  </si>
  <si>
    <t>امنه سپهوند</t>
  </si>
  <si>
    <t>محمد ازادی نسب</t>
  </si>
  <si>
    <t>ت6</t>
  </si>
  <si>
    <t>ت2</t>
  </si>
  <si>
    <t>پ12</t>
  </si>
  <si>
    <t>زهرا کوهدشتی</t>
  </si>
  <si>
    <t>صفیه پیری</t>
  </si>
  <si>
    <t>7 9</t>
  </si>
  <si>
    <t>شریفه بزرگمهر</t>
  </si>
  <si>
    <t>فاطمه کرمی</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</si>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</sst>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6"/>
      <color rgb="FF000000"/>
      <name val="B Mitra"/>
      <charset val="1"/>
    </font>
    <font>
      <b/>
      <sz val="12"/>
      <color rgb="FF000000"/>
      <name val="B Mitra"/>
      <charset val="1"/>
    </font>
    <font>
      <sz val="12"/>
      <color rgb="FF000000"/>
      <name val="B Mitra"/>
      <charset val="1"/>
    </font>
    <font>
      <sz val="14"/>
      <color theme="1"/>
      <name val="B Mitra"/>
      <charset val="178"/>
    </font>
  </fonts>
  <fills count="2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CD5B4"/>
        <bgColor rgb="FF000000"/>
      </patternFill>
    </fill>
    <fill>
      <patternFill patternType="solid">
        <fgColor rgb="FFFBFBFB"/>
        <bgColor rgb="FF000000"/>
      </patternFill>
    </fill>
  </fills>
  <borders count="83">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s>
  <cellStyleXfs count="1">
    <xf numFmtId="0" fontId="0" fillId="0" borderId="0"/>
  </cellStyleXfs>
  <cellXfs count="706">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7" fillId="5" borderId="4"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57" xfId="0" applyNumberFormat="1" applyFont="1" applyFill="1" applyBorder="1" applyAlignment="1">
      <alignment horizontal="center" vertical="center" textRotation="90" wrapText="1" readingOrder="2"/>
    </xf>
    <xf numFmtId="3" fontId="28" fillId="21" borderId="59" xfId="0" applyNumberFormat="1" applyFont="1" applyFill="1" applyBorder="1" applyAlignment="1">
      <alignment horizontal="center" vertical="center" textRotation="90" wrapText="1" readingOrder="2"/>
    </xf>
    <xf numFmtId="3" fontId="32" fillId="21" borderId="32" xfId="0" applyNumberFormat="1" applyFont="1" applyFill="1" applyBorder="1" applyAlignment="1">
      <alignment horizontal="center" vertical="center" wrapText="1"/>
    </xf>
    <xf numFmtId="3" fontId="33" fillId="21" borderId="47"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3" fontId="28" fillId="21" borderId="46" xfId="0" applyNumberFormat="1" applyFont="1" applyFill="1" applyBorder="1" applyAlignment="1">
      <alignment horizontal="center" vertical="center" textRotation="90" wrapText="1" readingOrder="2"/>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33" fillId="21" borderId="35" xfId="0" applyNumberFormat="1" applyFont="1" applyFill="1" applyBorder="1" applyAlignment="1">
      <alignment horizontal="center" vertical="center" wrapText="1"/>
    </xf>
    <xf numFmtId="3" fontId="33" fillId="21" borderId="60"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8"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8" fillId="20" borderId="70" xfId="0" applyNumberFormat="1" applyFont="1" applyFill="1" applyBorder="1" applyAlignment="1">
      <alignment horizontal="center" vertical="center" textRotation="90" wrapText="1" readingOrder="2"/>
    </xf>
    <xf numFmtId="3" fontId="28" fillId="20" borderId="58" xfId="0" applyNumberFormat="1" applyFont="1" applyFill="1" applyBorder="1" applyAlignment="1">
      <alignment horizontal="center" vertical="center" textRotation="90" wrapText="1" readingOrder="2"/>
    </xf>
    <xf numFmtId="3" fontId="22" fillId="20" borderId="52" xfId="0" applyNumberFormat="1" applyFont="1" applyFill="1" applyBorder="1" applyAlignment="1">
      <alignment horizontal="center" vertical="center"/>
    </xf>
    <xf numFmtId="3" fontId="22" fillId="20" borderId="57" xfId="0" applyNumberFormat="1" applyFont="1" applyFill="1" applyBorder="1" applyAlignment="1">
      <alignment horizontal="center" vertical="center"/>
    </xf>
    <xf numFmtId="3" fontId="22"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8" fillId="20" borderId="37" xfId="0" applyNumberFormat="1" applyFont="1" applyFill="1" applyBorder="1" applyAlignment="1">
      <alignment horizontal="center" vertical="center" textRotation="90"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center"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10" borderId="11" xfId="0" applyNumberFormat="1" applyFont="1" applyFill="1" applyBorder="1" applyAlignment="1" applyProtection="1">
      <alignment horizontal="center" vertical="center" wrapText="1" readingOrder="2"/>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7" fillId="5" borderId="10"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1"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1" xfId="0" applyNumberFormat="1" applyFont="1" applyFill="1" applyBorder="1" applyAlignment="1" applyProtection="1">
      <alignment horizontal="justify" vertical="center" wrapText="1" readingOrder="2"/>
    </xf>
    <xf numFmtId="3" fontId="16" fillId="22" borderId="11" xfId="0" applyNumberFormat="1" applyFont="1" applyFill="1" applyBorder="1" applyAlignment="1" applyProtection="1">
      <alignment horizontal="center"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6"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4"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52"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1"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56"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15"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2"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2" fillId="15" borderId="24"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76" xfId="0" applyNumberFormat="1" applyFont="1" applyFill="1" applyBorder="1" applyAlignment="1">
      <alignment horizontal="center" vertical="center"/>
    </xf>
    <xf numFmtId="3" fontId="22" fillId="15" borderId="65"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5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0" fontId="36" fillId="26" borderId="80" xfId="0" applyNumberFormat="1" applyFont="1" applyFill="1" applyBorder="1" applyAlignment="1" applyProtection="1">
      <alignment horizontal="center" vertical="center" wrapText="1"/>
      <protection locked="0"/>
    </xf>
    <xf numFmtId="0" fontId="36" fillId="26" borderId="81" xfId="0" applyNumberFormat="1" applyFont="1" applyFill="1" applyBorder="1" applyAlignment="1" applyProtection="1">
      <alignment horizontal="center" vertical="center" wrapText="1"/>
      <protection locked="0"/>
    </xf>
    <xf numFmtId="0" fontId="36" fillId="26" borderId="82" xfId="0" applyNumberFormat="1" applyFont="1" applyFill="1" applyBorder="1" applyAlignment="1" applyProtection="1">
      <alignment horizontal="center" vertical="center" wrapText="1"/>
      <protection locked="0"/>
    </xf>
    <xf numFmtId="3" fontId="36" fillId="26" borderId="82" xfId="0" applyNumberFormat="1" applyFont="1" applyFill="1" applyBorder="1" applyAlignment="1" applyProtection="1">
      <alignment horizontal="center" vertical="center" wrapText="1"/>
      <protection locked="0"/>
    </xf>
    <xf numFmtId="3" fontId="36" fillId="26" borderId="81" xfId="0" applyNumberFormat="1" applyFont="1" applyFill="1" applyBorder="1" applyAlignment="1" applyProtection="1">
      <alignment horizontal="center" vertical="center" wrapText="1"/>
      <protection locked="0"/>
    </xf>
    <xf numFmtId="3" fontId="36" fillId="26" borderId="80" xfId="0" applyNumberFormat="1" applyFont="1" applyFill="1" applyBorder="1" applyAlignment="1" applyProtection="1">
      <alignment horizontal="center" vertical="center" wrapText="1"/>
      <protection locked="0"/>
    </xf>
    <xf numFmtId="0" fontId="37" fillId="26" borderId="80" xfId="0" applyNumberFormat="1" applyFont="1" applyFill="1" applyBorder="1" applyAlignment="1" applyProtection="1">
      <alignment horizontal="center" vertical="center" wrapText="1"/>
      <protection locked="0"/>
    </xf>
    <xf numFmtId="0" fontId="37" fillId="26" borderId="81" xfId="0" applyNumberFormat="1" applyFont="1" applyFill="1" applyBorder="1" applyAlignment="1" applyProtection="1">
      <alignment horizontal="center" vertical="center" wrapText="1"/>
      <protection locked="0"/>
    </xf>
    <xf numFmtId="0" fontId="37" fillId="26" borderId="82" xfId="0" applyNumberFormat="1" applyFont="1" applyFill="1" applyBorder="1" applyAlignment="1" applyProtection="1">
      <alignment horizontal="center" vertical="center" wrapText="1"/>
      <protection locked="0"/>
    </xf>
    <xf numFmtId="3" fontId="37" fillId="26" borderId="82" xfId="0" applyNumberFormat="1" applyFont="1" applyFill="1" applyBorder="1" applyAlignment="1" applyProtection="1">
      <alignment horizontal="center" vertical="center" wrapText="1"/>
      <protection locked="0"/>
    </xf>
    <xf numFmtId="3" fontId="37" fillId="26" borderId="81" xfId="0" applyNumberFormat="1" applyFont="1" applyFill="1" applyBorder="1" applyAlignment="1" applyProtection="1">
      <alignment horizontal="center" vertical="center" wrapText="1"/>
      <protection locked="0"/>
    </xf>
    <xf numFmtId="0" fontId="38" fillId="27" borderId="80" xfId="0" applyNumberFormat="1" applyFont="1" applyFill="1" applyBorder="1" applyAlignment="1" applyProtection="1">
      <alignment horizontal="center" vertical="center" wrapText="1"/>
      <protection locked="0"/>
    </xf>
    <xf numFmtId="0" fontId="38" fillId="27" borderId="81" xfId="0" applyNumberFormat="1" applyFont="1" applyFill="1" applyBorder="1" applyAlignment="1" applyProtection="1">
      <alignment horizontal="center" vertical="center" wrapText="1"/>
      <protection locked="0"/>
    </xf>
    <xf numFmtId="0" fontId="38" fillId="27" borderId="82" xfId="0" applyNumberFormat="1" applyFont="1" applyFill="1" applyBorder="1" applyAlignment="1" applyProtection="1">
      <alignment horizontal="center" vertical="center" wrapText="1"/>
      <protection locked="0"/>
    </xf>
    <xf numFmtId="3" fontId="38" fillId="27" borderId="82" xfId="0" applyNumberFormat="1" applyFont="1" applyFill="1" applyBorder="1" applyAlignment="1" applyProtection="1">
      <alignment horizontal="center" vertical="center" wrapText="1"/>
      <protection locked="0"/>
    </xf>
    <xf numFmtId="3" fontId="38" fillId="27" borderId="81" xfId="0" applyNumberFormat="1" applyFont="1" applyFill="1" applyBorder="1" applyAlignment="1" applyProtection="1">
      <alignment horizontal="center" vertical="center" wrapText="1"/>
      <protection locked="0"/>
    </xf>
    <xf numFmtId="1" fontId="38" fillId="27" borderId="82" xfId="0" applyNumberFormat="1" applyFont="1" applyFill="1" applyBorder="1" applyAlignment="1" applyProtection="1">
      <alignment horizontal="center" vertical="center" wrapText="1"/>
      <protection locked="0"/>
    </xf>
    <xf numFmtId="1" fontId="38" fillId="27" borderId="81" xfId="0" applyNumberFormat="1" applyFont="1" applyFill="1" applyBorder="1" applyAlignment="1" applyProtection="1">
      <alignment horizontal="center" vertical="center" wrapText="1"/>
      <protection locked="0"/>
    </xf>
    <xf numFmtId="1" fontId="39" fillId="4" borderId="11" xfId="0" applyNumberFormat="1" applyFont="1" applyFill="1" applyBorder="1" applyAlignment="1" applyProtection="1">
      <alignment horizontal="center" vertical="center" wrapText="1" readingOrder="2"/>
      <protection locked="0"/>
    </xf>
    <xf numFmtId="0" fontId="2" fillId="6" borderId="26" xfId="0" applyFont="1" applyFill="1" applyBorder="1" applyAlignment="1">
      <alignment horizontal="center" vertical="center"/>
    </xf>
    <xf numFmtId="0" fontId="2" fillId="6" borderId="55" xfId="0" applyFont="1" applyFill="1" applyBorder="1" applyAlignment="1">
      <alignment horizontal="center" vertical="center"/>
    </xf>
    <xf numFmtId="0" fontId="2" fillId="19" borderId="55" xfId="0" applyFont="1" applyFill="1" applyBorder="1" applyAlignment="1">
      <alignment horizontal="center" vertical="center"/>
    </xf>
    <xf numFmtId="0" fontId="6" fillId="19" borderId="55" xfId="0" applyFont="1" applyFill="1" applyBorder="1" applyAlignment="1">
      <alignment horizontal="center" vertical="center"/>
    </xf>
    <xf numFmtId="0" fontId="6" fillId="19" borderId="56" xfId="0" applyFont="1" applyFill="1" applyBorder="1" applyAlignment="1">
      <alignment horizontal="center" vertical="center"/>
    </xf>
    <xf numFmtId="0" fontId="5" fillId="19" borderId="22" xfId="0" applyFont="1" applyFill="1" applyBorder="1" applyAlignment="1">
      <alignment horizontal="center" vertical="center"/>
    </xf>
    <xf numFmtId="3" fontId="6" fillId="19" borderId="22" xfId="0" applyNumberFormat="1" applyFont="1" applyFill="1" applyBorder="1" applyAlignment="1">
      <alignment horizontal="center" vertical="center"/>
    </xf>
    <xf numFmtId="3" fontId="6" fillId="19" borderId="15" xfId="0" applyNumberFormat="1" applyFont="1" applyFill="1" applyBorder="1" applyAlignment="1">
      <alignment horizontal="center" vertical="center"/>
    </xf>
    <xf numFmtId="0" fontId="2" fillId="19" borderId="58" xfId="0" applyFont="1" applyFill="1" applyBorder="1" applyAlignment="1">
      <alignment horizontal="center" vertical="center"/>
    </xf>
    <xf numFmtId="3" fontId="6" fillId="6" borderId="58" xfId="0" applyNumberFormat="1" applyFont="1" applyFill="1" applyBorder="1" applyAlignment="1">
      <alignment horizontal="center" vertical="center"/>
    </xf>
    <xf numFmtId="3" fontId="6" fillId="19" borderId="58" xfId="0" applyNumberFormat="1" applyFont="1" applyFill="1" applyBorder="1" applyAlignment="1">
      <alignment horizontal="center" vertical="center"/>
    </xf>
    <xf numFmtId="3" fontId="6" fillId="19" borderId="29" xfId="0" applyNumberFormat="1" applyFont="1" applyFill="1" applyBorder="1" applyAlignment="1">
      <alignment horizontal="center" vertical="center"/>
    </xf>
    <xf numFmtId="3" fontId="6" fillId="19" borderId="33" xfId="0" applyNumberFormat="1" applyFont="1" applyFill="1" applyBorder="1" applyAlignment="1">
      <alignment horizontal="center" vertical="center"/>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16"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63"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3" xfId="0" applyNumberFormat="1" applyFont="1" applyFill="1" applyBorder="1" applyAlignment="1" applyProtection="1">
      <alignment horizontal="center" vertical="center" textRotation="90" wrapText="1" readingOrder="2"/>
    </xf>
    <xf numFmtId="3" fontId="20" fillId="3" borderId="17" xfId="0" applyNumberFormat="1" applyFont="1" applyFill="1" applyBorder="1" applyAlignment="1" applyProtection="1">
      <alignment horizontal="center" vertical="center" textRotation="90" wrapText="1" readingOrder="2"/>
    </xf>
    <xf numFmtId="3" fontId="20" fillId="3" borderId="63"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73"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4" xfId="0" applyFont="1" applyFill="1" applyBorder="1" applyAlignment="1">
      <alignment horizontal="center" vertical="center" wrapText="1"/>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28"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58"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0" fontId="2" fillId="19" borderId="18"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6"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0" fontId="16" fillId="0" borderId="40" xfId="0" applyFont="1" applyFill="1" applyBorder="1" applyAlignment="1">
      <alignment horizontal="center"/>
    </xf>
    <xf numFmtId="0" fontId="16" fillId="0" borderId="41" xfId="0" applyFont="1" applyFill="1" applyBorder="1" applyAlignment="1">
      <alignment horizontal="center"/>
    </xf>
    <xf numFmtId="0" fontId="16" fillId="0" borderId="63" xfId="0" applyFont="1" applyFill="1" applyBorder="1" applyAlignment="1">
      <alignment horizontal="center"/>
    </xf>
    <xf numFmtId="0" fontId="16" fillId="0" borderId="42" xfId="0" applyFont="1" applyFill="1" applyBorder="1" applyAlignment="1">
      <alignment horizontal="center"/>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2" fillId="0" borderId="17" xfId="0" applyNumberFormat="1" applyFont="1" applyBorder="1" applyAlignment="1">
      <alignment horizontal="center"/>
    </xf>
    <xf numFmtId="0" fontId="22" fillId="0" borderId="63" xfId="0" applyFont="1" applyBorder="1" applyAlignment="1">
      <alignment horizontal="center"/>
    </xf>
    <xf numFmtId="0" fontId="22" fillId="0" borderId="18" xfId="0" applyFont="1" applyBorder="1" applyAlignment="1">
      <alignment horizontal="center"/>
    </xf>
    <xf numFmtId="3" fontId="29" fillId="0" borderId="63"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6" xfId="0" applyNumberFormat="1" applyFont="1" applyBorder="1" applyAlignment="1">
      <alignment horizontal="center" vertical="center" textRotation="90" wrapText="1" readingOrder="2"/>
    </xf>
    <xf numFmtId="3" fontId="28" fillId="0" borderId="70"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58"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79"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ColWidth="9.140625" defaultRowHeight="17.25" x14ac:dyDescent="0.4"/>
  <cols>
    <col min="1" max="1" width="9.140625" style="379"/>
    <col min="2" max="2" width="7.28515625" style="379" customWidth="1"/>
    <col min="3" max="3" width="6.85546875" style="379" customWidth="1"/>
    <col min="4" max="4" width="35.28515625" style="379" customWidth="1"/>
    <col min="5" max="16384" width="9.140625" style="379"/>
  </cols>
  <sheetData>
    <row r="1" spans="2:21" ht="18" thickBot="1" x14ac:dyDescent="0.45"/>
    <row r="2" spans="2:21" ht="18.75" thickBot="1" x14ac:dyDescent="0.45">
      <c r="B2" s="535" t="s">
        <v>305</v>
      </c>
      <c r="C2" s="534"/>
      <c r="D2" s="380" t="s">
        <v>306</v>
      </c>
      <c r="E2" s="533" t="s">
        <v>307</v>
      </c>
      <c r="F2" s="533"/>
      <c r="G2" s="533"/>
      <c r="H2" s="533"/>
      <c r="I2" s="533"/>
      <c r="J2" s="533"/>
      <c r="K2" s="533"/>
      <c r="L2" s="533"/>
      <c r="M2" s="533"/>
      <c r="N2" s="533"/>
      <c r="O2" s="533"/>
      <c r="P2" s="533"/>
      <c r="Q2" s="533"/>
      <c r="R2" s="533"/>
      <c r="S2" s="533"/>
      <c r="T2" s="533"/>
      <c r="U2" s="534"/>
    </row>
    <row r="3" spans="2:21" ht="18" thickBot="1" x14ac:dyDescent="0.45">
      <c r="B3" s="525" t="s">
        <v>14</v>
      </c>
      <c r="C3" s="526"/>
      <c r="D3" s="368" t="s">
        <v>56</v>
      </c>
      <c r="E3" s="557" t="s">
        <v>311</v>
      </c>
      <c r="F3" s="558"/>
      <c r="G3" s="558"/>
      <c r="H3" s="558"/>
      <c r="I3" s="558"/>
      <c r="J3" s="558"/>
      <c r="K3" s="558"/>
      <c r="L3" s="558"/>
      <c r="M3" s="558"/>
      <c r="N3" s="558"/>
      <c r="O3" s="558"/>
      <c r="P3" s="558"/>
      <c r="Q3" s="558"/>
      <c r="R3" s="558"/>
      <c r="S3" s="558"/>
      <c r="T3" s="558"/>
      <c r="U3" s="559"/>
    </row>
    <row r="4" spans="2:21" ht="18" thickBot="1" x14ac:dyDescent="0.45">
      <c r="B4" s="525"/>
      <c r="C4" s="526"/>
      <c r="D4" s="369" t="s">
        <v>59</v>
      </c>
      <c r="E4" s="560" t="s">
        <v>310</v>
      </c>
      <c r="F4" s="561"/>
      <c r="G4" s="561"/>
      <c r="H4" s="561"/>
      <c r="I4" s="561"/>
      <c r="J4" s="561"/>
      <c r="K4" s="561"/>
      <c r="L4" s="561"/>
      <c r="M4" s="561"/>
      <c r="N4" s="561"/>
      <c r="O4" s="561"/>
      <c r="P4" s="561"/>
      <c r="Q4" s="561"/>
      <c r="R4" s="561"/>
      <c r="S4" s="561"/>
      <c r="T4" s="561"/>
      <c r="U4" s="562"/>
    </row>
    <row r="5" spans="2:21" ht="18" thickBot="1" x14ac:dyDescent="0.45">
      <c r="B5" s="525"/>
      <c r="C5" s="526"/>
      <c r="D5" s="368" t="s">
        <v>60</v>
      </c>
      <c r="E5" s="557" t="s">
        <v>309</v>
      </c>
      <c r="F5" s="558"/>
      <c r="G5" s="558"/>
      <c r="H5" s="558"/>
      <c r="I5" s="558"/>
      <c r="J5" s="558"/>
      <c r="K5" s="558"/>
      <c r="L5" s="558"/>
      <c r="M5" s="558"/>
      <c r="N5" s="558"/>
      <c r="O5" s="558"/>
      <c r="P5" s="558"/>
      <c r="Q5" s="558"/>
      <c r="R5" s="558"/>
      <c r="S5" s="558"/>
      <c r="T5" s="558"/>
      <c r="U5" s="559"/>
    </row>
    <row r="6" spans="2:21" ht="18" thickBot="1" x14ac:dyDescent="0.45">
      <c r="B6" s="525"/>
      <c r="C6" s="526"/>
      <c r="D6" s="369" t="s">
        <v>33</v>
      </c>
      <c r="E6" s="560" t="s">
        <v>308</v>
      </c>
      <c r="F6" s="561"/>
      <c r="G6" s="561"/>
      <c r="H6" s="561"/>
      <c r="I6" s="561"/>
      <c r="J6" s="561"/>
      <c r="K6" s="561"/>
      <c r="L6" s="561"/>
      <c r="M6" s="561"/>
      <c r="N6" s="561"/>
      <c r="O6" s="561"/>
      <c r="P6" s="561"/>
      <c r="Q6" s="561"/>
      <c r="R6" s="561"/>
      <c r="S6" s="561"/>
      <c r="T6" s="561"/>
      <c r="U6" s="562"/>
    </row>
    <row r="7" spans="2:21" ht="18" thickBot="1" x14ac:dyDescent="0.45">
      <c r="B7" s="525"/>
      <c r="C7" s="526"/>
      <c r="D7" s="368" t="s">
        <v>9</v>
      </c>
      <c r="E7" s="557" t="s">
        <v>312</v>
      </c>
      <c r="F7" s="558"/>
      <c r="G7" s="558"/>
      <c r="H7" s="558"/>
      <c r="I7" s="558"/>
      <c r="J7" s="558"/>
      <c r="K7" s="558"/>
      <c r="L7" s="558"/>
      <c r="M7" s="558"/>
      <c r="N7" s="558"/>
      <c r="O7" s="558"/>
      <c r="P7" s="558"/>
      <c r="Q7" s="558"/>
      <c r="R7" s="558"/>
      <c r="S7" s="558"/>
      <c r="T7" s="558"/>
      <c r="U7" s="559"/>
    </row>
    <row r="8" spans="2:21" ht="18" thickBot="1" x14ac:dyDescent="0.45">
      <c r="B8" s="525"/>
      <c r="C8" s="526"/>
      <c r="D8" s="369" t="s">
        <v>22</v>
      </c>
      <c r="E8" s="560" t="s">
        <v>313</v>
      </c>
      <c r="F8" s="561"/>
      <c r="G8" s="561"/>
      <c r="H8" s="561"/>
      <c r="I8" s="561"/>
      <c r="J8" s="561"/>
      <c r="K8" s="561"/>
      <c r="L8" s="561"/>
      <c r="M8" s="561"/>
      <c r="N8" s="561"/>
      <c r="O8" s="561"/>
      <c r="P8" s="561"/>
      <c r="Q8" s="561"/>
      <c r="R8" s="561"/>
      <c r="S8" s="561"/>
      <c r="T8" s="561"/>
      <c r="U8" s="562"/>
    </row>
    <row r="9" spans="2:21" ht="29.25" thickBot="1" x14ac:dyDescent="0.45">
      <c r="B9" s="525"/>
      <c r="C9" s="526"/>
      <c r="D9" s="368" t="s">
        <v>290</v>
      </c>
      <c r="E9" s="557" t="s">
        <v>314</v>
      </c>
      <c r="F9" s="558"/>
      <c r="G9" s="558"/>
      <c r="H9" s="558"/>
      <c r="I9" s="558"/>
      <c r="J9" s="558"/>
      <c r="K9" s="558"/>
      <c r="L9" s="558"/>
      <c r="M9" s="558"/>
      <c r="N9" s="558"/>
      <c r="O9" s="558"/>
      <c r="P9" s="558"/>
      <c r="Q9" s="558"/>
      <c r="R9" s="558"/>
      <c r="S9" s="558"/>
      <c r="T9" s="558"/>
      <c r="U9" s="559"/>
    </row>
    <row r="10" spans="2:21" ht="18" thickBot="1" x14ac:dyDescent="0.45">
      <c r="B10" s="525"/>
      <c r="C10" s="526"/>
      <c r="D10" s="369" t="s">
        <v>51</v>
      </c>
      <c r="E10" s="539" t="s">
        <v>315</v>
      </c>
      <c r="F10" s="540"/>
      <c r="G10" s="540"/>
      <c r="H10" s="540"/>
      <c r="I10" s="540"/>
      <c r="J10" s="540"/>
      <c r="K10" s="540"/>
      <c r="L10" s="540"/>
      <c r="M10" s="540"/>
      <c r="N10" s="540"/>
      <c r="O10" s="540"/>
      <c r="P10" s="540"/>
      <c r="Q10" s="540"/>
      <c r="R10" s="540"/>
      <c r="S10" s="540"/>
      <c r="T10" s="540"/>
      <c r="U10" s="541"/>
    </row>
    <row r="11" spans="2:21" ht="18" thickBot="1" x14ac:dyDescent="0.45">
      <c r="B11" s="525"/>
      <c r="C11" s="526"/>
      <c r="D11" s="368" t="s">
        <v>52</v>
      </c>
      <c r="E11" s="536" t="s">
        <v>316</v>
      </c>
      <c r="F11" s="537"/>
      <c r="G11" s="537"/>
      <c r="H11" s="537"/>
      <c r="I11" s="537"/>
      <c r="J11" s="537"/>
      <c r="K11" s="537"/>
      <c r="L11" s="537"/>
      <c r="M11" s="537"/>
      <c r="N11" s="537"/>
      <c r="O11" s="537"/>
      <c r="P11" s="537"/>
      <c r="Q11" s="537"/>
      <c r="R11" s="537"/>
      <c r="S11" s="537"/>
      <c r="T11" s="537"/>
      <c r="U11" s="538"/>
    </row>
    <row r="12" spans="2:21" ht="18" thickBot="1" x14ac:dyDescent="0.45">
      <c r="B12" s="525"/>
      <c r="C12" s="526"/>
      <c r="D12" s="369" t="s">
        <v>219</v>
      </c>
      <c r="E12" s="539" t="s">
        <v>317</v>
      </c>
      <c r="F12" s="540"/>
      <c r="G12" s="540"/>
      <c r="H12" s="540"/>
      <c r="I12" s="540"/>
      <c r="J12" s="540"/>
      <c r="K12" s="540"/>
      <c r="L12" s="540"/>
      <c r="M12" s="540"/>
      <c r="N12" s="540"/>
      <c r="O12" s="540"/>
      <c r="P12" s="540"/>
      <c r="Q12" s="540"/>
      <c r="R12" s="540"/>
      <c r="S12" s="540"/>
      <c r="T12" s="540"/>
      <c r="U12" s="541"/>
    </row>
    <row r="13" spans="2:21" ht="18" thickBot="1" x14ac:dyDescent="0.45">
      <c r="B13" s="525"/>
      <c r="C13" s="526"/>
      <c r="D13" s="401" t="s">
        <v>421</v>
      </c>
      <c r="E13" s="560" t="s">
        <v>424</v>
      </c>
      <c r="F13" s="561"/>
      <c r="G13" s="561"/>
      <c r="H13" s="561"/>
      <c r="I13" s="561"/>
      <c r="J13" s="561"/>
      <c r="K13" s="561"/>
      <c r="L13" s="561"/>
      <c r="M13" s="561"/>
      <c r="N13" s="561"/>
      <c r="O13" s="561"/>
      <c r="P13" s="561"/>
      <c r="Q13" s="561"/>
      <c r="R13" s="561"/>
      <c r="S13" s="561"/>
      <c r="T13" s="561"/>
      <c r="U13" s="562"/>
    </row>
    <row r="14" spans="2:21" ht="18" thickBot="1" x14ac:dyDescent="0.45">
      <c r="B14" s="525"/>
      <c r="C14" s="526"/>
      <c r="D14" s="368" t="s">
        <v>10</v>
      </c>
      <c r="E14" s="536" t="s">
        <v>318</v>
      </c>
      <c r="F14" s="537"/>
      <c r="G14" s="537"/>
      <c r="H14" s="537"/>
      <c r="I14" s="537"/>
      <c r="J14" s="537"/>
      <c r="K14" s="537"/>
      <c r="L14" s="537"/>
      <c r="M14" s="537"/>
      <c r="N14" s="537"/>
      <c r="O14" s="537"/>
      <c r="P14" s="537"/>
      <c r="Q14" s="537"/>
      <c r="R14" s="537"/>
      <c r="S14" s="537"/>
      <c r="T14" s="537"/>
      <c r="U14" s="538"/>
    </row>
    <row r="15" spans="2:21" ht="18" thickBot="1" x14ac:dyDescent="0.45">
      <c r="B15" s="525"/>
      <c r="C15" s="526"/>
      <c r="D15" s="370" t="s">
        <v>62</v>
      </c>
      <c r="E15" s="539" t="s">
        <v>319</v>
      </c>
      <c r="F15" s="540"/>
      <c r="G15" s="540"/>
      <c r="H15" s="540"/>
      <c r="I15" s="540"/>
      <c r="J15" s="540"/>
      <c r="K15" s="540"/>
      <c r="L15" s="540"/>
      <c r="M15" s="540"/>
      <c r="N15" s="540"/>
      <c r="O15" s="540"/>
      <c r="P15" s="540"/>
      <c r="Q15" s="540"/>
      <c r="R15" s="540"/>
      <c r="S15" s="540"/>
      <c r="T15" s="540"/>
      <c r="U15" s="541"/>
    </row>
    <row r="16" spans="2:21" ht="18" thickBot="1" x14ac:dyDescent="0.45">
      <c r="B16" s="525"/>
      <c r="C16" s="526"/>
      <c r="D16" s="371" t="s">
        <v>221</v>
      </c>
      <c r="E16" s="536" t="s">
        <v>320</v>
      </c>
      <c r="F16" s="537"/>
      <c r="G16" s="537"/>
      <c r="H16" s="537"/>
      <c r="I16" s="537"/>
      <c r="J16" s="537"/>
      <c r="K16" s="537"/>
      <c r="L16" s="537"/>
      <c r="M16" s="537"/>
      <c r="N16" s="537"/>
      <c r="O16" s="537"/>
      <c r="P16" s="537"/>
      <c r="Q16" s="537"/>
      <c r="R16" s="537"/>
      <c r="S16" s="537"/>
      <c r="T16" s="537"/>
      <c r="U16" s="538"/>
    </row>
    <row r="17" spans="2:21" ht="29.25" thickBot="1" x14ac:dyDescent="0.45">
      <c r="B17" s="525"/>
      <c r="C17" s="526"/>
      <c r="D17" s="370" t="s">
        <v>107</v>
      </c>
      <c r="E17" s="539" t="s">
        <v>321</v>
      </c>
      <c r="F17" s="540"/>
      <c r="G17" s="540"/>
      <c r="H17" s="540"/>
      <c r="I17" s="540"/>
      <c r="J17" s="540"/>
      <c r="K17" s="540"/>
      <c r="L17" s="540"/>
      <c r="M17" s="540"/>
      <c r="N17" s="540"/>
      <c r="O17" s="540"/>
      <c r="P17" s="540"/>
      <c r="Q17" s="540"/>
      <c r="R17" s="540"/>
      <c r="S17" s="540"/>
      <c r="T17" s="540"/>
      <c r="U17" s="541"/>
    </row>
    <row r="18" spans="2:21" ht="18" thickBot="1" x14ac:dyDescent="0.45">
      <c r="B18" s="525"/>
      <c r="C18" s="526"/>
      <c r="D18" s="371" t="s">
        <v>32</v>
      </c>
      <c r="E18" s="536" t="s">
        <v>322</v>
      </c>
      <c r="F18" s="537"/>
      <c r="G18" s="537"/>
      <c r="H18" s="537"/>
      <c r="I18" s="537"/>
      <c r="J18" s="537"/>
      <c r="K18" s="537"/>
      <c r="L18" s="537"/>
      <c r="M18" s="537"/>
      <c r="N18" s="537"/>
      <c r="O18" s="537"/>
      <c r="P18" s="537"/>
      <c r="Q18" s="537"/>
      <c r="R18" s="537"/>
      <c r="S18" s="537"/>
      <c r="T18" s="537"/>
      <c r="U18" s="538"/>
    </row>
    <row r="19" spans="2:21" ht="18" thickBot="1" x14ac:dyDescent="0.45">
      <c r="B19" s="525"/>
      <c r="C19" s="526"/>
      <c r="D19" s="369" t="s">
        <v>21</v>
      </c>
      <c r="E19" s="539" t="s">
        <v>323</v>
      </c>
      <c r="F19" s="540"/>
      <c r="G19" s="540"/>
      <c r="H19" s="540"/>
      <c r="I19" s="540"/>
      <c r="J19" s="540"/>
      <c r="K19" s="540"/>
      <c r="L19" s="540"/>
      <c r="M19" s="540"/>
      <c r="N19" s="540"/>
      <c r="O19" s="540"/>
      <c r="P19" s="540"/>
      <c r="Q19" s="540"/>
      <c r="R19" s="540"/>
      <c r="S19" s="540"/>
      <c r="T19" s="540"/>
      <c r="U19" s="541"/>
    </row>
    <row r="20" spans="2:21" ht="18" thickBot="1" x14ac:dyDescent="0.45">
      <c r="B20" s="525"/>
      <c r="C20" s="526"/>
      <c r="D20" s="371" t="s">
        <v>53</v>
      </c>
      <c r="E20" s="536" t="s">
        <v>325</v>
      </c>
      <c r="F20" s="537"/>
      <c r="G20" s="537"/>
      <c r="H20" s="537"/>
      <c r="I20" s="537"/>
      <c r="J20" s="537"/>
      <c r="K20" s="537"/>
      <c r="L20" s="537"/>
      <c r="M20" s="537"/>
      <c r="N20" s="537"/>
      <c r="O20" s="537"/>
      <c r="P20" s="537"/>
      <c r="Q20" s="537"/>
      <c r="R20" s="537"/>
      <c r="S20" s="537"/>
      <c r="T20" s="537"/>
      <c r="U20" s="538"/>
    </row>
    <row r="21" spans="2:21" ht="18" thickBot="1" x14ac:dyDescent="0.45">
      <c r="B21" s="525"/>
      <c r="C21" s="526"/>
      <c r="D21" s="370" t="s">
        <v>54</v>
      </c>
      <c r="E21" s="539" t="s">
        <v>326</v>
      </c>
      <c r="F21" s="540"/>
      <c r="G21" s="540"/>
      <c r="H21" s="540"/>
      <c r="I21" s="540"/>
      <c r="J21" s="540"/>
      <c r="K21" s="540"/>
      <c r="L21" s="540"/>
      <c r="M21" s="540"/>
      <c r="N21" s="540"/>
      <c r="O21" s="540"/>
      <c r="P21" s="540"/>
      <c r="Q21" s="540"/>
      <c r="R21" s="540"/>
      <c r="S21" s="540"/>
      <c r="T21" s="540"/>
      <c r="U21" s="541"/>
    </row>
    <row r="22" spans="2:21" ht="18" thickBot="1" x14ac:dyDescent="0.45">
      <c r="B22" s="525"/>
      <c r="C22" s="526"/>
      <c r="D22" s="371" t="s">
        <v>55</v>
      </c>
      <c r="E22" s="536" t="s">
        <v>327</v>
      </c>
      <c r="F22" s="537"/>
      <c r="G22" s="537"/>
      <c r="H22" s="537"/>
      <c r="I22" s="537"/>
      <c r="J22" s="537"/>
      <c r="K22" s="537"/>
      <c r="L22" s="537"/>
      <c r="M22" s="537"/>
      <c r="N22" s="537"/>
      <c r="O22" s="537"/>
      <c r="P22" s="537"/>
      <c r="Q22" s="537"/>
      <c r="R22" s="537"/>
      <c r="S22" s="537"/>
      <c r="T22" s="537"/>
      <c r="U22" s="538"/>
    </row>
    <row r="23" spans="2:21" ht="18" thickBot="1" x14ac:dyDescent="0.45">
      <c r="B23" s="523" t="s">
        <v>11</v>
      </c>
      <c r="C23" s="524"/>
      <c r="D23" s="372" t="s">
        <v>0</v>
      </c>
      <c r="E23" s="539" t="s">
        <v>328</v>
      </c>
      <c r="F23" s="540"/>
      <c r="G23" s="540"/>
      <c r="H23" s="540"/>
      <c r="I23" s="540"/>
      <c r="J23" s="540"/>
      <c r="K23" s="540"/>
      <c r="L23" s="540"/>
      <c r="M23" s="540"/>
      <c r="N23" s="540"/>
      <c r="O23" s="540"/>
      <c r="P23" s="540"/>
      <c r="Q23" s="540"/>
      <c r="R23" s="540"/>
      <c r="S23" s="540"/>
      <c r="T23" s="540"/>
      <c r="U23" s="541"/>
    </row>
    <row r="24" spans="2:21" ht="18" thickBot="1" x14ac:dyDescent="0.45">
      <c r="B24" s="525"/>
      <c r="C24" s="526"/>
      <c r="D24" s="367" t="s">
        <v>1</v>
      </c>
      <c r="E24" s="536" t="s">
        <v>329</v>
      </c>
      <c r="F24" s="537"/>
      <c r="G24" s="537"/>
      <c r="H24" s="537"/>
      <c r="I24" s="537"/>
      <c r="J24" s="537"/>
      <c r="K24" s="537"/>
      <c r="L24" s="537"/>
      <c r="M24" s="537"/>
      <c r="N24" s="537"/>
      <c r="O24" s="537"/>
      <c r="P24" s="537"/>
      <c r="Q24" s="537"/>
      <c r="R24" s="537"/>
      <c r="S24" s="537"/>
      <c r="T24" s="537"/>
      <c r="U24" s="538"/>
    </row>
    <row r="25" spans="2:21" ht="18" thickBot="1" x14ac:dyDescent="0.45">
      <c r="B25" s="525"/>
      <c r="C25" s="526"/>
      <c r="D25" s="372" t="s">
        <v>2</v>
      </c>
      <c r="E25" s="539" t="s">
        <v>330</v>
      </c>
      <c r="F25" s="540"/>
      <c r="G25" s="540"/>
      <c r="H25" s="540"/>
      <c r="I25" s="540"/>
      <c r="J25" s="540"/>
      <c r="K25" s="540"/>
      <c r="L25" s="540"/>
      <c r="M25" s="540"/>
      <c r="N25" s="540"/>
      <c r="O25" s="540"/>
      <c r="P25" s="540"/>
      <c r="Q25" s="540"/>
      <c r="R25" s="540"/>
      <c r="S25" s="540"/>
      <c r="T25" s="540"/>
      <c r="U25" s="541"/>
    </row>
    <row r="26" spans="2:21" ht="18" thickBot="1" x14ac:dyDescent="0.45">
      <c r="B26" s="525"/>
      <c r="C26" s="526"/>
      <c r="D26" s="367" t="s">
        <v>109</v>
      </c>
      <c r="E26" s="536" t="s">
        <v>331</v>
      </c>
      <c r="F26" s="537"/>
      <c r="G26" s="537"/>
      <c r="H26" s="537"/>
      <c r="I26" s="537"/>
      <c r="J26" s="537"/>
      <c r="K26" s="537"/>
      <c r="L26" s="537"/>
      <c r="M26" s="537"/>
      <c r="N26" s="537"/>
      <c r="O26" s="537"/>
      <c r="P26" s="537"/>
      <c r="Q26" s="537"/>
      <c r="R26" s="537"/>
      <c r="S26" s="537"/>
      <c r="T26" s="537"/>
      <c r="U26" s="538"/>
    </row>
    <row r="27" spans="2:21" ht="18" thickBot="1" x14ac:dyDescent="0.45">
      <c r="B27" s="525"/>
      <c r="C27" s="526"/>
      <c r="D27" s="372" t="s">
        <v>67</v>
      </c>
      <c r="E27" s="539" t="s">
        <v>332</v>
      </c>
      <c r="F27" s="540"/>
      <c r="G27" s="540"/>
      <c r="H27" s="540"/>
      <c r="I27" s="540"/>
      <c r="J27" s="540"/>
      <c r="K27" s="540"/>
      <c r="L27" s="540"/>
      <c r="M27" s="540"/>
      <c r="N27" s="540"/>
      <c r="O27" s="540"/>
      <c r="P27" s="540"/>
      <c r="Q27" s="540"/>
      <c r="R27" s="540"/>
      <c r="S27" s="540"/>
      <c r="T27" s="540"/>
      <c r="U27" s="541"/>
    </row>
    <row r="28" spans="2:21" ht="18" thickBot="1" x14ac:dyDescent="0.45">
      <c r="B28" s="525"/>
      <c r="C28" s="526"/>
      <c r="D28" s="367" t="s">
        <v>110</v>
      </c>
      <c r="E28" s="536" t="s">
        <v>333</v>
      </c>
      <c r="F28" s="537"/>
      <c r="G28" s="537"/>
      <c r="H28" s="537"/>
      <c r="I28" s="537"/>
      <c r="J28" s="537"/>
      <c r="K28" s="537"/>
      <c r="L28" s="537"/>
      <c r="M28" s="537"/>
      <c r="N28" s="537"/>
      <c r="O28" s="537"/>
      <c r="P28" s="537"/>
      <c r="Q28" s="537"/>
      <c r="R28" s="537"/>
      <c r="S28" s="537"/>
      <c r="T28" s="537"/>
      <c r="U28" s="538"/>
    </row>
    <row r="29" spans="2:21" ht="18" thickBot="1" x14ac:dyDescent="0.45">
      <c r="B29" s="525"/>
      <c r="C29" s="526"/>
      <c r="D29" s="372" t="s">
        <v>23</v>
      </c>
      <c r="E29" s="539" t="s">
        <v>334</v>
      </c>
      <c r="F29" s="540"/>
      <c r="G29" s="540"/>
      <c r="H29" s="540"/>
      <c r="I29" s="540"/>
      <c r="J29" s="540"/>
      <c r="K29" s="540"/>
      <c r="L29" s="540"/>
      <c r="M29" s="540"/>
      <c r="N29" s="540"/>
      <c r="O29" s="540"/>
      <c r="P29" s="540"/>
      <c r="Q29" s="540"/>
      <c r="R29" s="540"/>
      <c r="S29" s="540"/>
      <c r="T29" s="540"/>
      <c r="U29" s="541"/>
    </row>
    <row r="30" spans="2:21" ht="18" thickBot="1" x14ac:dyDescent="0.45">
      <c r="B30" s="527"/>
      <c r="C30" s="528"/>
      <c r="D30" s="367" t="s">
        <v>108</v>
      </c>
      <c r="E30" s="536" t="s">
        <v>335</v>
      </c>
      <c r="F30" s="537"/>
      <c r="G30" s="537"/>
      <c r="H30" s="537"/>
      <c r="I30" s="537"/>
      <c r="J30" s="537"/>
      <c r="K30" s="537"/>
      <c r="L30" s="537"/>
      <c r="M30" s="537"/>
      <c r="N30" s="537"/>
      <c r="O30" s="537"/>
      <c r="P30" s="537"/>
      <c r="Q30" s="537"/>
      <c r="R30" s="537"/>
      <c r="S30" s="537"/>
      <c r="T30" s="537"/>
      <c r="U30" s="538"/>
    </row>
    <row r="31" spans="2:21" ht="18" thickBot="1" x14ac:dyDescent="0.45">
      <c r="B31" s="523" t="s">
        <v>4</v>
      </c>
      <c r="C31" s="524"/>
      <c r="D31" s="372" t="s">
        <v>29</v>
      </c>
      <c r="E31" s="539" t="s">
        <v>336</v>
      </c>
      <c r="F31" s="540"/>
      <c r="G31" s="540"/>
      <c r="H31" s="540"/>
      <c r="I31" s="540"/>
      <c r="J31" s="540"/>
      <c r="K31" s="540"/>
      <c r="L31" s="540"/>
      <c r="M31" s="540"/>
      <c r="N31" s="540"/>
      <c r="O31" s="540"/>
      <c r="P31" s="540"/>
      <c r="Q31" s="540"/>
      <c r="R31" s="540"/>
      <c r="S31" s="540"/>
      <c r="T31" s="540"/>
      <c r="U31" s="541"/>
    </row>
    <row r="32" spans="2:21" ht="18" thickBot="1" x14ac:dyDescent="0.45">
      <c r="B32" s="525"/>
      <c r="C32" s="526"/>
      <c r="D32" s="367" t="s">
        <v>31</v>
      </c>
      <c r="E32" s="536" t="s">
        <v>337</v>
      </c>
      <c r="F32" s="537"/>
      <c r="G32" s="537"/>
      <c r="H32" s="537"/>
      <c r="I32" s="537"/>
      <c r="J32" s="537"/>
      <c r="K32" s="537"/>
      <c r="L32" s="537"/>
      <c r="M32" s="537"/>
      <c r="N32" s="537"/>
      <c r="O32" s="537"/>
      <c r="P32" s="537"/>
      <c r="Q32" s="537"/>
      <c r="R32" s="537"/>
      <c r="S32" s="537"/>
      <c r="T32" s="537"/>
      <c r="U32" s="538"/>
    </row>
    <row r="33" spans="2:21" ht="18" thickBot="1" x14ac:dyDescent="0.45">
      <c r="B33" s="525"/>
      <c r="C33" s="526"/>
      <c r="D33" s="372" t="s">
        <v>30</v>
      </c>
      <c r="E33" s="539" t="s">
        <v>338</v>
      </c>
      <c r="F33" s="540"/>
      <c r="G33" s="540"/>
      <c r="H33" s="540"/>
      <c r="I33" s="540"/>
      <c r="J33" s="540"/>
      <c r="K33" s="540"/>
      <c r="L33" s="540"/>
      <c r="M33" s="540"/>
      <c r="N33" s="540"/>
      <c r="O33" s="540"/>
      <c r="P33" s="540"/>
      <c r="Q33" s="540"/>
      <c r="R33" s="540"/>
      <c r="S33" s="540"/>
      <c r="T33" s="540"/>
      <c r="U33" s="541"/>
    </row>
    <row r="34" spans="2:21" ht="18" thickBot="1" x14ac:dyDescent="0.45">
      <c r="B34" s="525"/>
      <c r="C34" s="526"/>
      <c r="D34" s="376" t="s">
        <v>15</v>
      </c>
      <c r="E34" s="560" t="s">
        <v>339</v>
      </c>
      <c r="F34" s="561"/>
      <c r="G34" s="561"/>
      <c r="H34" s="561"/>
      <c r="I34" s="561"/>
      <c r="J34" s="561"/>
      <c r="K34" s="561"/>
      <c r="L34" s="561"/>
      <c r="M34" s="561"/>
      <c r="N34" s="561"/>
      <c r="O34" s="561"/>
      <c r="P34" s="561"/>
      <c r="Q34" s="561"/>
      <c r="R34" s="561"/>
      <c r="S34" s="561"/>
      <c r="T34" s="561"/>
      <c r="U34" s="562"/>
    </row>
    <row r="35" spans="2:21" ht="18" thickBot="1" x14ac:dyDescent="0.45">
      <c r="B35" s="527"/>
      <c r="C35" s="528"/>
      <c r="D35" s="402" t="s">
        <v>422</v>
      </c>
      <c r="E35" s="536" t="s">
        <v>423</v>
      </c>
      <c r="F35" s="537"/>
      <c r="G35" s="537"/>
      <c r="H35" s="537"/>
      <c r="I35" s="537"/>
      <c r="J35" s="537"/>
      <c r="K35" s="537"/>
      <c r="L35" s="537"/>
      <c r="M35" s="537"/>
      <c r="N35" s="537"/>
      <c r="O35" s="537"/>
      <c r="P35" s="537"/>
      <c r="Q35" s="537"/>
      <c r="R35" s="537"/>
      <c r="S35" s="537"/>
      <c r="T35" s="537"/>
      <c r="U35" s="538"/>
    </row>
    <row r="36" spans="2:21" ht="18" thickBot="1" x14ac:dyDescent="0.45">
      <c r="B36" s="523" t="s">
        <v>5</v>
      </c>
      <c r="C36" s="524"/>
      <c r="D36" s="372" t="s">
        <v>28</v>
      </c>
      <c r="E36" s="539" t="s">
        <v>340</v>
      </c>
      <c r="F36" s="540"/>
      <c r="G36" s="540"/>
      <c r="H36" s="540"/>
      <c r="I36" s="540"/>
      <c r="J36" s="540"/>
      <c r="K36" s="540"/>
      <c r="L36" s="540"/>
      <c r="M36" s="540"/>
      <c r="N36" s="540"/>
      <c r="O36" s="540"/>
      <c r="P36" s="540"/>
      <c r="Q36" s="540"/>
      <c r="R36" s="540"/>
      <c r="S36" s="540"/>
      <c r="T36" s="540"/>
      <c r="U36" s="541"/>
    </row>
    <row r="37" spans="2:21" ht="18" thickBot="1" x14ac:dyDescent="0.45">
      <c r="B37" s="525"/>
      <c r="C37" s="526"/>
      <c r="D37" s="367" t="s">
        <v>27</v>
      </c>
      <c r="E37" s="536" t="s">
        <v>341</v>
      </c>
      <c r="F37" s="537"/>
      <c r="G37" s="537"/>
      <c r="H37" s="537"/>
      <c r="I37" s="537"/>
      <c r="J37" s="537"/>
      <c r="K37" s="537"/>
      <c r="L37" s="537"/>
      <c r="M37" s="537"/>
      <c r="N37" s="537"/>
      <c r="O37" s="537"/>
      <c r="P37" s="537"/>
      <c r="Q37" s="537"/>
      <c r="R37" s="537"/>
      <c r="S37" s="537"/>
      <c r="T37" s="537"/>
      <c r="U37" s="538"/>
    </row>
    <row r="38" spans="2:21" ht="29.25" thickBot="1" x14ac:dyDescent="0.45">
      <c r="B38" s="525"/>
      <c r="C38" s="526"/>
      <c r="D38" s="372" t="s">
        <v>70</v>
      </c>
      <c r="E38" s="539" t="s">
        <v>342</v>
      </c>
      <c r="F38" s="540"/>
      <c r="G38" s="540"/>
      <c r="H38" s="540"/>
      <c r="I38" s="540"/>
      <c r="J38" s="540"/>
      <c r="K38" s="540"/>
      <c r="L38" s="540"/>
      <c r="M38" s="540"/>
      <c r="N38" s="540"/>
      <c r="O38" s="540"/>
      <c r="P38" s="540"/>
      <c r="Q38" s="540"/>
      <c r="R38" s="540"/>
      <c r="S38" s="540"/>
      <c r="T38" s="540"/>
      <c r="U38" s="541"/>
    </row>
    <row r="39" spans="2:21" ht="18" thickBot="1" x14ac:dyDescent="0.45">
      <c r="B39" s="525"/>
      <c r="C39" s="526"/>
      <c r="D39" s="367" t="s">
        <v>26</v>
      </c>
      <c r="E39" s="536" t="s">
        <v>343</v>
      </c>
      <c r="F39" s="537"/>
      <c r="G39" s="537"/>
      <c r="H39" s="537"/>
      <c r="I39" s="537"/>
      <c r="J39" s="537"/>
      <c r="K39" s="537"/>
      <c r="L39" s="537"/>
      <c r="M39" s="537"/>
      <c r="N39" s="537"/>
      <c r="O39" s="537"/>
      <c r="P39" s="537"/>
      <c r="Q39" s="537"/>
      <c r="R39" s="537"/>
      <c r="S39" s="537"/>
      <c r="T39" s="537"/>
      <c r="U39" s="538"/>
    </row>
    <row r="40" spans="2:21" ht="18" thickBot="1" x14ac:dyDescent="0.45">
      <c r="B40" s="527"/>
      <c r="C40" s="528"/>
      <c r="D40" s="372" t="s">
        <v>6</v>
      </c>
      <c r="E40" s="539" t="s">
        <v>344</v>
      </c>
      <c r="F40" s="540"/>
      <c r="G40" s="540"/>
      <c r="H40" s="540"/>
      <c r="I40" s="540"/>
      <c r="J40" s="540"/>
      <c r="K40" s="540"/>
      <c r="L40" s="540"/>
      <c r="M40" s="540"/>
      <c r="N40" s="540"/>
      <c r="O40" s="540"/>
      <c r="P40" s="540"/>
      <c r="Q40" s="540"/>
      <c r="R40" s="540"/>
      <c r="S40" s="540"/>
      <c r="T40" s="540"/>
      <c r="U40" s="541"/>
    </row>
    <row r="41" spans="2:21" ht="18" thickBot="1" x14ac:dyDescent="0.45">
      <c r="B41" s="523" t="s">
        <v>16</v>
      </c>
      <c r="C41" s="524"/>
      <c r="D41" s="367" t="s">
        <v>324</v>
      </c>
      <c r="E41" s="536" t="s">
        <v>345</v>
      </c>
      <c r="F41" s="537"/>
      <c r="G41" s="537"/>
      <c r="H41" s="537"/>
      <c r="I41" s="537"/>
      <c r="J41" s="537"/>
      <c r="K41" s="537"/>
      <c r="L41" s="537"/>
      <c r="M41" s="537"/>
      <c r="N41" s="537"/>
      <c r="O41" s="537"/>
      <c r="P41" s="537"/>
      <c r="Q41" s="537"/>
      <c r="R41" s="537"/>
      <c r="S41" s="537"/>
      <c r="T41" s="537"/>
      <c r="U41" s="538"/>
    </row>
    <row r="42" spans="2:21" ht="18" thickBot="1" x14ac:dyDescent="0.45">
      <c r="B42" s="525"/>
      <c r="C42" s="526"/>
      <c r="D42" s="372" t="s">
        <v>111</v>
      </c>
      <c r="E42" s="539" t="s">
        <v>356</v>
      </c>
      <c r="F42" s="540"/>
      <c r="G42" s="540"/>
      <c r="H42" s="540"/>
      <c r="I42" s="540"/>
      <c r="J42" s="540"/>
      <c r="K42" s="540"/>
      <c r="L42" s="540"/>
      <c r="M42" s="540"/>
      <c r="N42" s="540"/>
      <c r="O42" s="540"/>
      <c r="P42" s="540"/>
      <c r="Q42" s="540"/>
      <c r="R42" s="540"/>
      <c r="S42" s="540"/>
      <c r="T42" s="540"/>
      <c r="U42" s="541"/>
    </row>
    <row r="43" spans="2:21" ht="18" thickBot="1" x14ac:dyDescent="0.45">
      <c r="B43" s="525"/>
      <c r="C43" s="526"/>
      <c r="D43" s="367" t="s">
        <v>57</v>
      </c>
      <c r="E43" s="536" t="s">
        <v>357</v>
      </c>
      <c r="F43" s="537"/>
      <c r="G43" s="537"/>
      <c r="H43" s="537"/>
      <c r="I43" s="537"/>
      <c r="J43" s="537"/>
      <c r="K43" s="537"/>
      <c r="L43" s="537"/>
      <c r="M43" s="537"/>
      <c r="N43" s="537"/>
      <c r="O43" s="537"/>
      <c r="P43" s="537"/>
      <c r="Q43" s="537"/>
      <c r="R43" s="537"/>
      <c r="S43" s="537"/>
      <c r="T43" s="537"/>
      <c r="U43" s="538"/>
    </row>
    <row r="44" spans="2:21" ht="18" thickBot="1" x14ac:dyDescent="0.45">
      <c r="B44" s="525"/>
      <c r="C44" s="526"/>
      <c r="D44" s="372" t="s">
        <v>112</v>
      </c>
      <c r="E44" s="539" t="s">
        <v>358</v>
      </c>
      <c r="F44" s="540"/>
      <c r="G44" s="540"/>
      <c r="H44" s="540"/>
      <c r="I44" s="540"/>
      <c r="J44" s="540"/>
      <c r="K44" s="540"/>
      <c r="L44" s="540"/>
      <c r="M44" s="540"/>
      <c r="N44" s="540"/>
      <c r="O44" s="540"/>
      <c r="P44" s="540"/>
      <c r="Q44" s="540"/>
      <c r="R44" s="540"/>
      <c r="S44" s="540"/>
      <c r="T44" s="540"/>
      <c r="U44" s="541"/>
    </row>
    <row r="45" spans="2:21" ht="18" thickBot="1" x14ac:dyDescent="0.45">
      <c r="B45" s="525"/>
      <c r="C45" s="526"/>
      <c r="D45" s="367" t="s">
        <v>17</v>
      </c>
      <c r="E45" s="536" t="s">
        <v>359</v>
      </c>
      <c r="F45" s="537"/>
      <c r="G45" s="537"/>
      <c r="H45" s="537"/>
      <c r="I45" s="537"/>
      <c r="J45" s="537"/>
      <c r="K45" s="537"/>
      <c r="L45" s="537"/>
      <c r="M45" s="537"/>
      <c r="N45" s="537"/>
      <c r="O45" s="537"/>
      <c r="P45" s="537"/>
      <c r="Q45" s="537"/>
      <c r="R45" s="537"/>
      <c r="S45" s="537"/>
      <c r="T45" s="537"/>
      <c r="U45" s="538"/>
    </row>
    <row r="46" spans="2:21" ht="18" thickBot="1" x14ac:dyDescent="0.45">
      <c r="B46" s="525"/>
      <c r="C46" s="526"/>
      <c r="D46" s="372" t="s">
        <v>7</v>
      </c>
      <c r="E46" s="539" t="s">
        <v>360</v>
      </c>
      <c r="F46" s="540"/>
      <c r="G46" s="540"/>
      <c r="H46" s="540"/>
      <c r="I46" s="540"/>
      <c r="J46" s="540"/>
      <c r="K46" s="540"/>
      <c r="L46" s="540"/>
      <c r="M46" s="540"/>
      <c r="N46" s="540"/>
      <c r="O46" s="540"/>
      <c r="P46" s="540"/>
      <c r="Q46" s="540"/>
      <c r="R46" s="540"/>
      <c r="S46" s="540"/>
      <c r="T46" s="540"/>
      <c r="U46" s="541"/>
    </row>
    <row r="47" spans="2:21" ht="18" thickBot="1" x14ac:dyDescent="0.45">
      <c r="B47" s="525"/>
      <c r="C47" s="526"/>
      <c r="D47" s="367" t="s">
        <v>113</v>
      </c>
      <c r="E47" s="536" t="s">
        <v>361</v>
      </c>
      <c r="F47" s="537"/>
      <c r="G47" s="537"/>
      <c r="H47" s="537"/>
      <c r="I47" s="537"/>
      <c r="J47" s="537"/>
      <c r="K47" s="537"/>
      <c r="L47" s="537"/>
      <c r="M47" s="537"/>
      <c r="N47" s="537"/>
      <c r="O47" s="537"/>
      <c r="P47" s="537"/>
      <c r="Q47" s="537"/>
      <c r="R47" s="537"/>
      <c r="S47" s="537"/>
      <c r="T47" s="537"/>
      <c r="U47" s="538"/>
    </row>
    <row r="48" spans="2:21" ht="18" thickBot="1" x14ac:dyDescent="0.45">
      <c r="B48" s="525"/>
      <c r="C48" s="526"/>
      <c r="D48" s="372" t="s">
        <v>18</v>
      </c>
      <c r="E48" s="539" t="s">
        <v>362</v>
      </c>
      <c r="F48" s="540"/>
      <c r="G48" s="540"/>
      <c r="H48" s="540"/>
      <c r="I48" s="540"/>
      <c r="J48" s="540"/>
      <c r="K48" s="540"/>
      <c r="L48" s="540"/>
      <c r="M48" s="540"/>
      <c r="N48" s="540"/>
      <c r="O48" s="540"/>
      <c r="P48" s="540"/>
      <c r="Q48" s="540"/>
      <c r="R48" s="540"/>
      <c r="S48" s="540"/>
      <c r="T48" s="540"/>
      <c r="U48" s="541"/>
    </row>
    <row r="49" spans="2:21" ht="29.25" thickBot="1" x14ac:dyDescent="0.45">
      <c r="B49" s="525"/>
      <c r="C49" s="526"/>
      <c r="D49" s="367" t="s">
        <v>19</v>
      </c>
      <c r="E49" s="536" t="s">
        <v>363</v>
      </c>
      <c r="F49" s="537"/>
      <c r="G49" s="537"/>
      <c r="H49" s="537"/>
      <c r="I49" s="537"/>
      <c r="J49" s="537"/>
      <c r="K49" s="537"/>
      <c r="L49" s="537"/>
      <c r="M49" s="537"/>
      <c r="N49" s="537"/>
      <c r="O49" s="537"/>
      <c r="P49" s="537"/>
      <c r="Q49" s="537"/>
      <c r="R49" s="537"/>
      <c r="S49" s="537"/>
      <c r="T49" s="537"/>
      <c r="U49" s="538"/>
    </row>
    <row r="50" spans="2:21" ht="29.25" thickBot="1" x14ac:dyDescent="0.45">
      <c r="B50" s="523" t="s">
        <v>115</v>
      </c>
      <c r="C50" s="524"/>
      <c r="D50" s="372" t="s">
        <v>114</v>
      </c>
      <c r="E50" s="539" t="s">
        <v>364</v>
      </c>
      <c r="F50" s="540"/>
      <c r="G50" s="540"/>
      <c r="H50" s="540"/>
      <c r="I50" s="540"/>
      <c r="J50" s="540"/>
      <c r="K50" s="540"/>
      <c r="L50" s="540"/>
      <c r="M50" s="540"/>
      <c r="N50" s="540"/>
      <c r="O50" s="540"/>
      <c r="P50" s="540"/>
      <c r="Q50" s="540"/>
      <c r="R50" s="540"/>
      <c r="S50" s="540"/>
      <c r="T50" s="540"/>
      <c r="U50" s="541"/>
    </row>
    <row r="51" spans="2:21" ht="18" thickBot="1" x14ac:dyDescent="0.45">
      <c r="B51" s="525"/>
      <c r="C51" s="526"/>
      <c r="D51" s="367" t="s">
        <v>63</v>
      </c>
      <c r="E51" s="536" t="s">
        <v>365</v>
      </c>
      <c r="F51" s="537"/>
      <c r="G51" s="537"/>
      <c r="H51" s="537"/>
      <c r="I51" s="537"/>
      <c r="J51" s="537"/>
      <c r="K51" s="537"/>
      <c r="L51" s="537"/>
      <c r="M51" s="537"/>
      <c r="N51" s="537"/>
      <c r="O51" s="537"/>
      <c r="P51" s="537"/>
      <c r="Q51" s="537"/>
      <c r="R51" s="537"/>
      <c r="S51" s="537"/>
      <c r="T51" s="537"/>
      <c r="U51" s="538"/>
    </row>
    <row r="52" spans="2:21" ht="18" thickBot="1" x14ac:dyDescent="0.45">
      <c r="B52" s="525"/>
      <c r="C52" s="526"/>
      <c r="D52" s="372" t="s">
        <v>34</v>
      </c>
      <c r="E52" s="539" t="s">
        <v>366</v>
      </c>
      <c r="F52" s="540"/>
      <c r="G52" s="540"/>
      <c r="H52" s="540"/>
      <c r="I52" s="540"/>
      <c r="J52" s="540"/>
      <c r="K52" s="540"/>
      <c r="L52" s="540"/>
      <c r="M52" s="540"/>
      <c r="N52" s="540"/>
      <c r="O52" s="540"/>
      <c r="P52" s="540"/>
      <c r="Q52" s="540"/>
      <c r="R52" s="540"/>
      <c r="S52" s="540"/>
      <c r="T52" s="540"/>
      <c r="U52" s="541"/>
    </row>
    <row r="53" spans="2:21" ht="18" thickBot="1" x14ac:dyDescent="0.45">
      <c r="B53" s="525"/>
      <c r="C53" s="526"/>
      <c r="D53" s="367" t="s">
        <v>116</v>
      </c>
      <c r="E53" s="536" t="s">
        <v>367</v>
      </c>
      <c r="F53" s="537"/>
      <c r="G53" s="537"/>
      <c r="H53" s="537"/>
      <c r="I53" s="537"/>
      <c r="J53" s="537"/>
      <c r="K53" s="537"/>
      <c r="L53" s="537"/>
      <c r="M53" s="537"/>
      <c r="N53" s="537"/>
      <c r="O53" s="537"/>
      <c r="P53" s="537"/>
      <c r="Q53" s="537"/>
      <c r="R53" s="537"/>
      <c r="S53" s="537"/>
      <c r="T53" s="537"/>
      <c r="U53" s="538"/>
    </row>
    <row r="54" spans="2:21" ht="18" thickBot="1" x14ac:dyDescent="0.45">
      <c r="B54" s="525"/>
      <c r="C54" s="526"/>
      <c r="D54" s="372" t="s">
        <v>117</v>
      </c>
      <c r="E54" s="539" t="s">
        <v>368</v>
      </c>
      <c r="F54" s="540"/>
      <c r="G54" s="540"/>
      <c r="H54" s="540"/>
      <c r="I54" s="540"/>
      <c r="J54" s="540"/>
      <c r="K54" s="540"/>
      <c r="L54" s="540"/>
      <c r="M54" s="540"/>
      <c r="N54" s="540"/>
      <c r="O54" s="540"/>
      <c r="P54" s="540"/>
      <c r="Q54" s="540"/>
      <c r="R54" s="540"/>
      <c r="S54" s="540"/>
      <c r="T54" s="540"/>
      <c r="U54" s="541"/>
    </row>
    <row r="55" spans="2:21" ht="18" thickBot="1" x14ac:dyDescent="0.45">
      <c r="B55" s="525"/>
      <c r="C55" s="526"/>
      <c r="D55" s="367" t="s">
        <v>118</v>
      </c>
      <c r="E55" s="536" t="s">
        <v>369</v>
      </c>
      <c r="F55" s="537"/>
      <c r="G55" s="537"/>
      <c r="H55" s="537"/>
      <c r="I55" s="537"/>
      <c r="J55" s="537"/>
      <c r="K55" s="537"/>
      <c r="L55" s="537"/>
      <c r="M55" s="537"/>
      <c r="N55" s="537"/>
      <c r="O55" s="537"/>
      <c r="P55" s="537"/>
      <c r="Q55" s="537"/>
      <c r="R55" s="537"/>
      <c r="S55" s="537"/>
      <c r="T55" s="537"/>
      <c r="U55" s="538"/>
    </row>
    <row r="56" spans="2:21" ht="18" thickBot="1" x14ac:dyDescent="0.45">
      <c r="B56" s="525"/>
      <c r="C56" s="526"/>
      <c r="D56" s="372" t="s">
        <v>119</v>
      </c>
      <c r="E56" s="539" t="s">
        <v>370</v>
      </c>
      <c r="F56" s="540"/>
      <c r="G56" s="540"/>
      <c r="H56" s="540"/>
      <c r="I56" s="540"/>
      <c r="J56" s="540"/>
      <c r="K56" s="540"/>
      <c r="L56" s="540"/>
      <c r="M56" s="540"/>
      <c r="N56" s="540"/>
      <c r="O56" s="540"/>
      <c r="P56" s="540"/>
      <c r="Q56" s="540"/>
      <c r="R56" s="540"/>
      <c r="S56" s="540"/>
      <c r="T56" s="540"/>
      <c r="U56" s="541"/>
    </row>
    <row r="57" spans="2:21" ht="18" thickBot="1" x14ac:dyDescent="0.45">
      <c r="B57" s="525"/>
      <c r="C57" s="526"/>
      <c r="D57" s="367" t="s">
        <v>120</v>
      </c>
      <c r="E57" s="536" t="s">
        <v>370</v>
      </c>
      <c r="F57" s="537"/>
      <c r="G57" s="537"/>
      <c r="H57" s="537"/>
      <c r="I57" s="537"/>
      <c r="J57" s="537"/>
      <c r="K57" s="537"/>
      <c r="L57" s="537"/>
      <c r="M57" s="537"/>
      <c r="N57" s="537"/>
      <c r="O57" s="537"/>
      <c r="P57" s="537"/>
      <c r="Q57" s="537"/>
      <c r="R57" s="537"/>
      <c r="S57" s="537"/>
      <c r="T57" s="537"/>
      <c r="U57" s="538"/>
    </row>
    <row r="58" spans="2:21" ht="18" thickBot="1" x14ac:dyDescent="0.45">
      <c r="B58" s="525"/>
      <c r="C58" s="526"/>
      <c r="D58" s="372" t="s">
        <v>121</v>
      </c>
      <c r="E58" s="539" t="s">
        <v>371</v>
      </c>
      <c r="F58" s="540"/>
      <c r="G58" s="540"/>
      <c r="H58" s="540"/>
      <c r="I58" s="540"/>
      <c r="J58" s="540"/>
      <c r="K58" s="540"/>
      <c r="L58" s="540"/>
      <c r="M58" s="540"/>
      <c r="N58" s="540"/>
      <c r="O58" s="540"/>
      <c r="P58" s="540"/>
      <c r="Q58" s="540"/>
      <c r="R58" s="540"/>
      <c r="S58" s="540"/>
      <c r="T58" s="540"/>
      <c r="U58" s="541"/>
    </row>
    <row r="59" spans="2:21" ht="36.75" customHeight="1" thickBot="1" x14ac:dyDescent="0.45">
      <c r="B59" s="525"/>
      <c r="C59" s="526"/>
      <c r="D59" s="367" t="s">
        <v>122</v>
      </c>
      <c r="E59" s="554" t="s">
        <v>372</v>
      </c>
      <c r="F59" s="555"/>
      <c r="G59" s="555"/>
      <c r="H59" s="555"/>
      <c r="I59" s="555"/>
      <c r="J59" s="555"/>
      <c r="K59" s="555"/>
      <c r="L59" s="555"/>
      <c r="M59" s="555"/>
      <c r="N59" s="555"/>
      <c r="O59" s="555"/>
      <c r="P59" s="555"/>
      <c r="Q59" s="555"/>
      <c r="R59" s="555"/>
      <c r="S59" s="555"/>
      <c r="T59" s="555"/>
      <c r="U59" s="556"/>
    </row>
    <row r="60" spans="2:21" ht="18" thickBot="1" x14ac:dyDescent="0.45">
      <c r="B60" s="525"/>
      <c r="C60" s="526"/>
      <c r="D60" s="372" t="s">
        <v>61</v>
      </c>
      <c r="E60" s="539" t="s">
        <v>373</v>
      </c>
      <c r="F60" s="540"/>
      <c r="G60" s="540"/>
      <c r="H60" s="540"/>
      <c r="I60" s="540"/>
      <c r="J60" s="540"/>
      <c r="K60" s="540"/>
      <c r="L60" s="540"/>
      <c r="M60" s="540"/>
      <c r="N60" s="540"/>
      <c r="O60" s="540"/>
      <c r="P60" s="540"/>
      <c r="Q60" s="540"/>
      <c r="R60" s="540"/>
      <c r="S60" s="540"/>
      <c r="T60" s="540"/>
      <c r="U60" s="541"/>
    </row>
    <row r="61" spans="2:21" ht="18" thickBot="1" x14ac:dyDescent="0.45">
      <c r="B61" s="525"/>
      <c r="C61" s="526"/>
      <c r="D61" s="368" t="s">
        <v>39</v>
      </c>
      <c r="E61" s="536" t="s">
        <v>374</v>
      </c>
      <c r="F61" s="537"/>
      <c r="G61" s="537"/>
      <c r="H61" s="537"/>
      <c r="I61" s="537"/>
      <c r="J61" s="537"/>
      <c r="K61" s="537"/>
      <c r="L61" s="537"/>
      <c r="M61" s="537"/>
      <c r="N61" s="537"/>
      <c r="O61" s="537"/>
      <c r="P61" s="537"/>
      <c r="Q61" s="537"/>
      <c r="R61" s="537"/>
      <c r="S61" s="537"/>
      <c r="T61" s="537"/>
      <c r="U61" s="538"/>
    </row>
    <row r="62" spans="2:21" ht="29.25" thickBot="1" x14ac:dyDescent="0.45">
      <c r="B62" s="525"/>
      <c r="C62" s="526"/>
      <c r="D62" s="372" t="s">
        <v>123</v>
      </c>
      <c r="E62" s="539" t="s">
        <v>375</v>
      </c>
      <c r="F62" s="540"/>
      <c r="G62" s="540"/>
      <c r="H62" s="540"/>
      <c r="I62" s="540"/>
      <c r="J62" s="540"/>
      <c r="K62" s="540"/>
      <c r="L62" s="540"/>
      <c r="M62" s="540"/>
      <c r="N62" s="540"/>
      <c r="O62" s="540"/>
      <c r="P62" s="540"/>
      <c r="Q62" s="540"/>
      <c r="R62" s="540"/>
      <c r="S62" s="540"/>
      <c r="T62" s="540"/>
      <c r="U62" s="541"/>
    </row>
    <row r="63" spans="2:21" ht="43.5" thickBot="1" x14ac:dyDescent="0.45">
      <c r="B63" s="525"/>
      <c r="C63" s="526"/>
      <c r="D63" s="368" t="s">
        <v>124</v>
      </c>
      <c r="E63" s="536" t="s">
        <v>374</v>
      </c>
      <c r="F63" s="537"/>
      <c r="G63" s="537"/>
      <c r="H63" s="537"/>
      <c r="I63" s="537"/>
      <c r="J63" s="537"/>
      <c r="K63" s="537"/>
      <c r="L63" s="537"/>
      <c r="M63" s="537"/>
      <c r="N63" s="537"/>
      <c r="O63" s="537"/>
      <c r="P63" s="537"/>
      <c r="Q63" s="537"/>
      <c r="R63" s="537"/>
      <c r="S63" s="537"/>
      <c r="T63" s="537"/>
      <c r="U63" s="538"/>
    </row>
    <row r="64" spans="2:21" ht="18" thickBot="1" x14ac:dyDescent="0.45">
      <c r="B64" s="525"/>
      <c r="C64" s="526"/>
      <c r="D64" s="369" t="s">
        <v>125</v>
      </c>
      <c r="E64" s="539" t="s">
        <v>376</v>
      </c>
      <c r="F64" s="540"/>
      <c r="G64" s="540"/>
      <c r="H64" s="540"/>
      <c r="I64" s="540"/>
      <c r="J64" s="540"/>
      <c r="K64" s="540"/>
      <c r="L64" s="540"/>
      <c r="M64" s="540"/>
      <c r="N64" s="540"/>
      <c r="O64" s="540"/>
      <c r="P64" s="540"/>
      <c r="Q64" s="540"/>
      <c r="R64" s="540"/>
      <c r="S64" s="540"/>
      <c r="T64" s="540"/>
      <c r="U64" s="541"/>
    </row>
    <row r="65" spans="2:21" ht="18" thickBot="1" x14ac:dyDescent="0.45">
      <c r="B65" s="525"/>
      <c r="C65" s="526"/>
      <c r="D65" s="367" t="s">
        <v>13</v>
      </c>
      <c r="E65" s="536" t="s">
        <v>377</v>
      </c>
      <c r="F65" s="537"/>
      <c r="G65" s="537"/>
      <c r="H65" s="537"/>
      <c r="I65" s="537"/>
      <c r="J65" s="537"/>
      <c r="K65" s="537"/>
      <c r="L65" s="537"/>
      <c r="M65" s="537"/>
      <c r="N65" s="537"/>
      <c r="O65" s="537"/>
      <c r="P65" s="537"/>
      <c r="Q65" s="537"/>
      <c r="R65" s="537"/>
      <c r="S65" s="537"/>
      <c r="T65" s="537"/>
      <c r="U65" s="538"/>
    </row>
    <row r="66" spans="2:21" ht="18" thickBot="1" x14ac:dyDescent="0.45">
      <c r="B66" s="525"/>
      <c r="C66" s="526"/>
      <c r="D66" s="372" t="s">
        <v>12</v>
      </c>
      <c r="E66" s="539" t="s">
        <v>377</v>
      </c>
      <c r="F66" s="540"/>
      <c r="G66" s="540"/>
      <c r="H66" s="540"/>
      <c r="I66" s="540"/>
      <c r="J66" s="540"/>
      <c r="K66" s="540"/>
      <c r="L66" s="540"/>
      <c r="M66" s="540"/>
      <c r="N66" s="540"/>
      <c r="O66" s="540"/>
      <c r="P66" s="540"/>
      <c r="Q66" s="540"/>
      <c r="R66" s="540"/>
      <c r="S66" s="540"/>
      <c r="T66" s="540"/>
      <c r="U66" s="541"/>
    </row>
    <row r="67" spans="2:21" ht="18" thickBot="1" x14ac:dyDescent="0.45">
      <c r="B67" s="525"/>
      <c r="C67" s="526"/>
      <c r="D67" s="367" t="s">
        <v>126</v>
      </c>
      <c r="E67" s="536" t="s">
        <v>378</v>
      </c>
      <c r="F67" s="537"/>
      <c r="G67" s="537"/>
      <c r="H67" s="537"/>
      <c r="I67" s="537"/>
      <c r="J67" s="537"/>
      <c r="K67" s="537"/>
      <c r="L67" s="537"/>
      <c r="M67" s="537"/>
      <c r="N67" s="537"/>
      <c r="O67" s="537"/>
      <c r="P67" s="537"/>
      <c r="Q67" s="537"/>
      <c r="R67" s="537"/>
      <c r="S67" s="537"/>
      <c r="T67" s="537"/>
      <c r="U67" s="538"/>
    </row>
    <row r="68" spans="2:21" ht="18" thickBot="1" x14ac:dyDescent="0.45">
      <c r="B68" s="525"/>
      <c r="C68" s="526"/>
      <c r="D68" s="372" t="s">
        <v>234</v>
      </c>
      <c r="E68" s="539" t="s">
        <v>379</v>
      </c>
      <c r="F68" s="540"/>
      <c r="G68" s="540"/>
      <c r="H68" s="540"/>
      <c r="I68" s="540"/>
      <c r="J68" s="540"/>
      <c r="K68" s="540"/>
      <c r="L68" s="540"/>
      <c r="M68" s="540"/>
      <c r="N68" s="540"/>
      <c r="O68" s="540"/>
      <c r="P68" s="540"/>
      <c r="Q68" s="540"/>
      <c r="R68" s="540"/>
      <c r="S68" s="540"/>
      <c r="T68" s="540"/>
      <c r="U68" s="541"/>
    </row>
    <row r="69" spans="2:21" ht="18" thickBot="1" x14ac:dyDescent="0.45">
      <c r="B69" s="525"/>
      <c r="C69" s="526"/>
      <c r="D69" s="367" t="s">
        <v>235</v>
      </c>
      <c r="E69" s="536" t="s">
        <v>380</v>
      </c>
      <c r="F69" s="537"/>
      <c r="G69" s="537"/>
      <c r="H69" s="537"/>
      <c r="I69" s="537"/>
      <c r="J69" s="537"/>
      <c r="K69" s="537"/>
      <c r="L69" s="537"/>
      <c r="M69" s="537"/>
      <c r="N69" s="537"/>
      <c r="O69" s="537"/>
      <c r="P69" s="537"/>
      <c r="Q69" s="537"/>
      <c r="R69" s="537"/>
      <c r="S69" s="537"/>
      <c r="T69" s="537"/>
      <c r="U69" s="538"/>
    </row>
    <row r="70" spans="2:21" ht="18" thickBot="1" x14ac:dyDescent="0.45">
      <c r="B70" s="525"/>
      <c r="C70" s="526"/>
      <c r="D70" s="372" t="s">
        <v>127</v>
      </c>
      <c r="E70" s="539" t="s">
        <v>381</v>
      </c>
      <c r="F70" s="540"/>
      <c r="G70" s="540"/>
      <c r="H70" s="540"/>
      <c r="I70" s="540"/>
      <c r="J70" s="540"/>
      <c r="K70" s="540"/>
      <c r="L70" s="540"/>
      <c r="M70" s="540"/>
      <c r="N70" s="540"/>
      <c r="O70" s="540"/>
      <c r="P70" s="540"/>
      <c r="Q70" s="540"/>
      <c r="R70" s="540"/>
      <c r="S70" s="540"/>
      <c r="T70" s="540"/>
      <c r="U70" s="541"/>
    </row>
    <row r="71" spans="2:21" ht="18" thickBot="1" x14ac:dyDescent="0.45">
      <c r="B71" s="525"/>
      <c r="C71" s="526"/>
      <c r="D71" s="367" t="s">
        <v>128</v>
      </c>
      <c r="E71" s="536" t="s">
        <v>382</v>
      </c>
      <c r="F71" s="537"/>
      <c r="G71" s="537"/>
      <c r="H71" s="537"/>
      <c r="I71" s="537"/>
      <c r="J71" s="537"/>
      <c r="K71" s="537"/>
      <c r="L71" s="537"/>
      <c r="M71" s="537"/>
      <c r="N71" s="537"/>
      <c r="O71" s="537"/>
      <c r="P71" s="537"/>
      <c r="Q71" s="537"/>
      <c r="R71" s="537"/>
      <c r="S71" s="537"/>
      <c r="T71" s="537"/>
      <c r="U71" s="538"/>
    </row>
    <row r="72" spans="2:21" ht="18" thickBot="1" x14ac:dyDescent="0.45">
      <c r="B72" s="525"/>
      <c r="C72" s="526"/>
      <c r="D72" s="372" t="s">
        <v>129</v>
      </c>
      <c r="E72" s="539" t="s">
        <v>383</v>
      </c>
      <c r="F72" s="540"/>
      <c r="G72" s="540"/>
      <c r="H72" s="540"/>
      <c r="I72" s="540"/>
      <c r="J72" s="540"/>
      <c r="K72" s="540"/>
      <c r="L72" s="540"/>
      <c r="M72" s="540"/>
      <c r="N72" s="540"/>
      <c r="O72" s="540"/>
      <c r="P72" s="540"/>
      <c r="Q72" s="540"/>
      <c r="R72" s="540"/>
      <c r="S72" s="540"/>
      <c r="T72" s="540"/>
      <c r="U72" s="541"/>
    </row>
    <row r="73" spans="2:21" ht="18" thickBot="1" x14ac:dyDescent="0.45">
      <c r="B73" s="525"/>
      <c r="C73" s="526"/>
      <c r="D73" s="367" t="s">
        <v>130</v>
      </c>
      <c r="E73" s="536" t="s">
        <v>384</v>
      </c>
      <c r="F73" s="537"/>
      <c r="G73" s="537"/>
      <c r="H73" s="537"/>
      <c r="I73" s="537"/>
      <c r="J73" s="537"/>
      <c r="K73" s="537"/>
      <c r="L73" s="537"/>
      <c r="M73" s="537"/>
      <c r="N73" s="537"/>
      <c r="O73" s="537"/>
      <c r="P73" s="537"/>
      <c r="Q73" s="537"/>
      <c r="R73" s="537"/>
      <c r="S73" s="537"/>
      <c r="T73" s="537"/>
      <c r="U73" s="538"/>
    </row>
    <row r="74" spans="2:21" ht="18" thickBot="1" x14ac:dyDescent="0.45">
      <c r="B74" s="525"/>
      <c r="C74" s="526"/>
      <c r="D74" s="372" t="s">
        <v>131</v>
      </c>
      <c r="E74" s="539" t="s">
        <v>385</v>
      </c>
      <c r="F74" s="540"/>
      <c r="G74" s="540"/>
      <c r="H74" s="540"/>
      <c r="I74" s="540"/>
      <c r="J74" s="540"/>
      <c r="K74" s="540"/>
      <c r="L74" s="540"/>
      <c r="M74" s="540"/>
      <c r="N74" s="540"/>
      <c r="O74" s="540"/>
      <c r="P74" s="540"/>
      <c r="Q74" s="540"/>
      <c r="R74" s="540"/>
      <c r="S74" s="540"/>
      <c r="T74" s="540"/>
      <c r="U74" s="541"/>
    </row>
    <row r="75" spans="2:21" ht="18" thickBot="1" x14ac:dyDescent="0.45">
      <c r="B75" s="525"/>
      <c r="C75" s="526"/>
      <c r="D75" s="367" t="s">
        <v>132</v>
      </c>
      <c r="E75" s="536" t="s">
        <v>386</v>
      </c>
      <c r="F75" s="537"/>
      <c r="G75" s="537"/>
      <c r="H75" s="537"/>
      <c r="I75" s="537"/>
      <c r="J75" s="537"/>
      <c r="K75" s="537"/>
      <c r="L75" s="537"/>
      <c r="M75" s="537"/>
      <c r="N75" s="537"/>
      <c r="O75" s="537"/>
      <c r="P75" s="537"/>
      <c r="Q75" s="537"/>
      <c r="R75" s="537"/>
      <c r="S75" s="537"/>
      <c r="T75" s="537"/>
      <c r="U75" s="538"/>
    </row>
    <row r="76" spans="2:21" ht="18" thickBot="1" x14ac:dyDescent="0.45">
      <c r="B76" s="525"/>
      <c r="C76" s="526"/>
      <c r="D76" s="372" t="s">
        <v>133</v>
      </c>
      <c r="E76" s="539" t="s">
        <v>420</v>
      </c>
      <c r="F76" s="540"/>
      <c r="G76" s="540"/>
      <c r="H76" s="540"/>
      <c r="I76" s="540"/>
      <c r="J76" s="540"/>
      <c r="K76" s="540"/>
      <c r="L76" s="540"/>
      <c r="M76" s="540"/>
      <c r="N76" s="540"/>
      <c r="O76" s="540"/>
      <c r="P76" s="540"/>
      <c r="Q76" s="540"/>
      <c r="R76" s="540"/>
      <c r="S76" s="540"/>
      <c r="T76" s="540"/>
      <c r="U76" s="541"/>
    </row>
    <row r="77" spans="2:21" ht="18" thickBot="1" x14ac:dyDescent="0.45">
      <c r="B77" s="525"/>
      <c r="C77" s="526"/>
      <c r="D77" s="367" t="s">
        <v>134</v>
      </c>
      <c r="E77" s="536" t="s">
        <v>387</v>
      </c>
      <c r="F77" s="537"/>
      <c r="G77" s="537"/>
      <c r="H77" s="537"/>
      <c r="I77" s="537"/>
      <c r="J77" s="537"/>
      <c r="K77" s="537"/>
      <c r="L77" s="537"/>
      <c r="M77" s="537"/>
      <c r="N77" s="537"/>
      <c r="O77" s="537"/>
      <c r="P77" s="537"/>
      <c r="Q77" s="537"/>
      <c r="R77" s="537"/>
      <c r="S77" s="537"/>
      <c r="T77" s="537"/>
      <c r="U77" s="538"/>
    </row>
    <row r="78" spans="2:21" ht="18" thickBot="1" x14ac:dyDescent="0.45">
      <c r="B78" s="527"/>
      <c r="C78" s="528"/>
      <c r="D78" s="372" t="s">
        <v>135</v>
      </c>
      <c r="E78" s="539" t="s">
        <v>388</v>
      </c>
      <c r="F78" s="540"/>
      <c r="G78" s="540"/>
      <c r="H78" s="540"/>
      <c r="I78" s="540"/>
      <c r="J78" s="540"/>
      <c r="K78" s="540"/>
      <c r="L78" s="540"/>
      <c r="M78" s="540"/>
      <c r="N78" s="540"/>
      <c r="O78" s="540"/>
      <c r="P78" s="540"/>
      <c r="Q78" s="540"/>
      <c r="R78" s="540"/>
      <c r="S78" s="540"/>
      <c r="T78" s="540"/>
      <c r="U78" s="541"/>
    </row>
    <row r="79" spans="2:21" ht="18" thickBot="1" x14ac:dyDescent="0.45">
      <c r="B79" s="523" t="s">
        <v>8</v>
      </c>
      <c r="C79" s="524"/>
      <c r="D79" s="367" t="s">
        <v>69</v>
      </c>
      <c r="E79" s="536" t="s">
        <v>389</v>
      </c>
      <c r="F79" s="537"/>
      <c r="G79" s="537"/>
      <c r="H79" s="537"/>
      <c r="I79" s="537"/>
      <c r="J79" s="537"/>
      <c r="K79" s="537"/>
      <c r="L79" s="537"/>
      <c r="M79" s="537"/>
      <c r="N79" s="537"/>
      <c r="O79" s="537"/>
      <c r="P79" s="537"/>
      <c r="Q79" s="537"/>
      <c r="R79" s="537"/>
      <c r="S79" s="537"/>
      <c r="T79" s="537"/>
      <c r="U79" s="538"/>
    </row>
    <row r="80" spans="2:21" ht="29.25" thickBot="1" x14ac:dyDescent="0.45">
      <c r="B80" s="525"/>
      <c r="C80" s="526"/>
      <c r="D80" s="372" t="s">
        <v>68</v>
      </c>
      <c r="E80" s="539" t="s">
        <v>390</v>
      </c>
      <c r="F80" s="540"/>
      <c r="G80" s="540"/>
      <c r="H80" s="540"/>
      <c r="I80" s="540"/>
      <c r="J80" s="540"/>
      <c r="K80" s="540"/>
      <c r="L80" s="540"/>
      <c r="M80" s="540"/>
      <c r="N80" s="540"/>
      <c r="O80" s="540"/>
      <c r="P80" s="540"/>
      <c r="Q80" s="540"/>
      <c r="R80" s="540"/>
      <c r="S80" s="540"/>
      <c r="T80" s="540"/>
      <c r="U80" s="541"/>
    </row>
    <row r="81" spans="2:21" ht="18" thickBot="1" x14ac:dyDescent="0.45">
      <c r="B81" s="523" t="s">
        <v>24</v>
      </c>
      <c r="C81" s="524"/>
      <c r="D81" s="367" t="s">
        <v>58</v>
      </c>
      <c r="E81" s="536" t="s">
        <v>391</v>
      </c>
      <c r="F81" s="537"/>
      <c r="G81" s="537"/>
      <c r="H81" s="537"/>
      <c r="I81" s="537"/>
      <c r="J81" s="537"/>
      <c r="K81" s="537"/>
      <c r="L81" s="537"/>
      <c r="M81" s="537"/>
      <c r="N81" s="537"/>
      <c r="O81" s="537"/>
      <c r="P81" s="537"/>
      <c r="Q81" s="537"/>
      <c r="R81" s="537"/>
      <c r="S81" s="537"/>
      <c r="T81" s="537"/>
      <c r="U81" s="538"/>
    </row>
    <row r="82" spans="2:21" ht="18" thickBot="1" x14ac:dyDescent="0.45">
      <c r="B82" s="525"/>
      <c r="C82" s="526"/>
      <c r="D82" s="372" t="s">
        <v>136</v>
      </c>
      <c r="E82" s="539" t="s">
        <v>392</v>
      </c>
      <c r="F82" s="540"/>
      <c r="G82" s="540"/>
      <c r="H82" s="540"/>
      <c r="I82" s="540"/>
      <c r="J82" s="540"/>
      <c r="K82" s="540"/>
      <c r="L82" s="540"/>
      <c r="M82" s="540"/>
      <c r="N82" s="540"/>
      <c r="O82" s="540"/>
      <c r="P82" s="540"/>
      <c r="Q82" s="540"/>
      <c r="R82" s="540"/>
      <c r="S82" s="540"/>
      <c r="T82" s="540"/>
      <c r="U82" s="541"/>
    </row>
    <row r="83" spans="2:21" ht="18" thickBot="1" x14ac:dyDescent="0.45">
      <c r="B83" s="525"/>
      <c r="C83" s="526"/>
      <c r="D83" s="373" t="s">
        <v>137</v>
      </c>
      <c r="E83" s="551" t="s">
        <v>393</v>
      </c>
      <c r="F83" s="552"/>
      <c r="G83" s="552"/>
      <c r="H83" s="552"/>
      <c r="I83" s="552"/>
      <c r="J83" s="552"/>
      <c r="K83" s="552"/>
      <c r="L83" s="552"/>
      <c r="M83" s="552"/>
      <c r="N83" s="552"/>
      <c r="O83" s="552"/>
      <c r="P83" s="552"/>
      <c r="Q83" s="552"/>
      <c r="R83" s="552"/>
      <c r="S83" s="552"/>
      <c r="T83" s="552"/>
      <c r="U83" s="553"/>
    </row>
    <row r="84" spans="2:21" ht="18" thickBot="1" x14ac:dyDescent="0.45">
      <c r="B84" s="525"/>
      <c r="C84" s="526"/>
      <c r="D84" s="374" t="s">
        <v>291</v>
      </c>
      <c r="E84" s="545" t="s">
        <v>394</v>
      </c>
      <c r="F84" s="546"/>
      <c r="G84" s="546"/>
      <c r="H84" s="546"/>
      <c r="I84" s="546"/>
      <c r="J84" s="546"/>
      <c r="K84" s="546"/>
      <c r="L84" s="546"/>
      <c r="M84" s="546"/>
      <c r="N84" s="546"/>
      <c r="O84" s="546"/>
      <c r="P84" s="546"/>
      <c r="Q84" s="546"/>
      <c r="R84" s="546"/>
      <c r="S84" s="546"/>
      <c r="T84" s="546"/>
      <c r="U84" s="547"/>
    </row>
    <row r="85" spans="2:21" ht="18" thickBot="1" x14ac:dyDescent="0.45">
      <c r="B85" s="525"/>
      <c r="C85" s="526"/>
      <c r="D85" s="375" t="s">
        <v>292</v>
      </c>
      <c r="E85" s="542" t="s">
        <v>395</v>
      </c>
      <c r="F85" s="543"/>
      <c r="G85" s="543"/>
      <c r="H85" s="543"/>
      <c r="I85" s="543"/>
      <c r="J85" s="543"/>
      <c r="K85" s="543"/>
      <c r="L85" s="543"/>
      <c r="M85" s="543"/>
      <c r="N85" s="543"/>
      <c r="O85" s="543"/>
      <c r="P85" s="543"/>
      <c r="Q85" s="543"/>
      <c r="R85" s="543"/>
      <c r="S85" s="543"/>
      <c r="T85" s="543"/>
      <c r="U85" s="544"/>
    </row>
    <row r="86" spans="2:21" ht="18" thickBot="1" x14ac:dyDescent="0.45">
      <c r="B86" s="525"/>
      <c r="C86" s="526"/>
      <c r="D86" s="376" t="s">
        <v>138</v>
      </c>
      <c r="E86" s="545" t="s">
        <v>396</v>
      </c>
      <c r="F86" s="546"/>
      <c r="G86" s="546"/>
      <c r="H86" s="546"/>
      <c r="I86" s="546"/>
      <c r="J86" s="546"/>
      <c r="K86" s="546"/>
      <c r="L86" s="546"/>
      <c r="M86" s="546"/>
      <c r="N86" s="546"/>
      <c r="O86" s="546"/>
      <c r="P86" s="546"/>
      <c r="Q86" s="546"/>
      <c r="R86" s="546"/>
      <c r="S86" s="546"/>
      <c r="T86" s="546"/>
      <c r="U86" s="547"/>
    </row>
    <row r="87" spans="2:21" ht="18" thickBot="1" x14ac:dyDescent="0.45">
      <c r="B87" s="525"/>
      <c r="C87" s="526"/>
      <c r="D87" s="375" t="s">
        <v>35</v>
      </c>
      <c r="E87" s="542" t="s">
        <v>397</v>
      </c>
      <c r="F87" s="543"/>
      <c r="G87" s="543"/>
      <c r="H87" s="543"/>
      <c r="I87" s="543"/>
      <c r="J87" s="543"/>
      <c r="K87" s="543"/>
      <c r="L87" s="543"/>
      <c r="M87" s="543"/>
      <c r="N87" s="543"/>
      <c r="O87" s="543"/>
      <c r="P87" s="543"/>
      <c r="Q87" s="543"/>
      <c r="R87" s="543"/>
      <c r="S87" s="543"/>
      <c r="T87" s="543"/>
      <c r="U87" s="544"/>
    </row>
    <row r="88" spans="2:21" ht="18" thickBot="1" x14ac:dyDescent="0.45">
      <c r="B88" s="525"/>
      <c r="C88" s="526"/>
      <c r="D88" s="376" t="s">
        <v>139</v>
      </c>
      <c r="E88" s="545" t="s">
        <v>398</v>
      </c>
      <c r="F88" s="546"/>
      <c r="G88" s="546"/>
      <c r="H88" s="546"/>
      <c r="I88" s="546"/>
      <c r="J88" s="546"/>
      <c r="K88" s="546"/>
      <c r="L88" s="546"/>
      <c r="M88" s="546"/>
      <c r="N88" s="546"/>
      <c r="O88" s="546"/>
      <c r="P88" s="546"/>
      <c r="Q88" s="546"/>
      <c r="R88" s="546"/>
      <c r="S88" s="546"/>
      <c r="T88" s="546"/>
      <c r="U88" s="547"/>
    </row>
    <row r="89" spans="2:21" ht="18" thickBot="1" x14ac:dyDescent="0.45">
      <c r="B89" s="525"/>
      <c r="C89" s="526"/>
      <c r="D89" s="375" t="s">
        <v>140</v>
      </c>
      <c r="E89" s="542" t="s">
        <v>399</v>
      </c>
      <c r="F89" s="543"/>
      <c r="G89" s="543"/>
      <c r="H89" s="543"/>
      <c r="I89" s="543"/>
      <c r="J89" s="543"/>
      <c r="K89" s="543"/>
      <c r="L89" s="543"/>
      <c r="M89" s="543"/>
      <c r="N89" s="543"/>
      <c r="O89" s="543"/>
      <c r="P89" s="543"/>
      <c r="Q89" s="543"/>
      <c r="R89" s="543"/>
      <c r="S89" s="543"/>
      <c r="T89" s="543"/>
      <c r="U89" s="544"/>
    </row>
    <row r="90" spans="2:21" ht="18" thickBot="1" x14ac:dyDescent="0.45">
      <c r="B90" s="525"/>
      <c r="C90" s="526"/>
      <c r="D90" s="376" t="s">
        <v>141</v>
      </c>
      <c r="E90" s="545" t="s">
        <v>400</v>
      </c>
      <c r="F90" s="546"/>
      <c r="G90" s="546"/>
      <c r="H90" s="546"/>
      <c r="I90" s="546"/>
      <c r="J90" s="546"/>
      <c r="K90" s="546"/>
      <c r="L90" s="546"/>
      <c r="M90" s="546"/>
      <c r="N90" s="546"/>
      <c r="O90" s="546"/>
      <c r="P90" s="546"/>
      <c r="Q90" s="546"/>
      <c r="R90" s="546"/>
      <c r="S90" s="546"/>
      <c r="T90" s="546"/>
      <c r="U90" s="547"/>
    </row>
    <row r="91" spans="2:21" ht="18" thickBot="1" x14ac:dyDescent="0.45">
      <c r="B91" s="525"/>
      <c r="C91" s="526"/>
      <c r="D91" s="375" t="s">
        <v>142</v>
      </c>
      <c r="E91" s="542" t="s">
        <v>401</v>
      </c>
      <c r="F91" s="543"/>
      <c r="G91" s="543"/>
      <c r="H91" s="543"/>
      <c r="I91" s="543"/>
      <c r="J91" s="543"/>
      <c r="K91" s="543"/>
      <c r="L91" s="543"/>
      <c r="M91" s="543"/>
      <c r="N91" s="543"/>
      <c r="O91" s="543"/>
      <c r="P91" s="543"/>
      <c r="Q91" s="543"/>
      <c r="R91" s="543"/>
      <c r="S91" s="543"/>
      <c r="T91" s="543"/>
      <c r="U91" s="544"/>
    </row>
    <row r="92" spans="2:21" ht="18" thickBot="1" x14ac:dyDescent="0.45">
      <c r="B92" s="525"/>
      <c r="C92" s="526"/>
      <c r="D92" s="376" t="s">
        <v>41</v>
      </c>
      <c r="E92" s="545" t="s">
        <v>402</v>
      </c>
      <c r="F92" s="546"/>
      <c r="G92" s="546"/>
      <c r="H92" s="546"/>
      <c r="I92" s="546"/>
      <c r="J92" s="546"/>
      <c r="K92" s="546"/>
      <c r="L92" s="546"/>
      <c r="M92" s="546"/>
      <c r="N92" s="546"/>
      <c r="O92" s="546"/>
      <c r="P92" s="546"/>
      <c r="Q92" s="546"/>
      <c r="R92" s="546"/>
      <c r="S92" s="546"/>
      <c r="T92" s="546"/>
      <c r="U92" s="547"/>
    </row>
    <row r="93" spans="2:21" ht="18" thickBot="1" x14ac:dyDescent="0.45">
      <c r="B93" s="525"/>
      <c r="C93" s="526"/>
      <c r="D93" s="375" t="s">
        <v>143</v>
      </c>
      <c r="E93" s="542" t="s">
        <v>403</v>
      </c>
      <c r="F93" s="543"/>
      <c r="G93" s="543"/>
      <c r="H93" s="543"/>
      <c r="I93" s="543"/>
      <c r="J93" s="543"/>
      <c r="K93" s="543"/>
      <c r="L93" s="543"/>
      <c r="M93" s="543"/>
      <c r="N93" s="543"/>
      <c r="O93" s="543"/>
      <c r="P93" s="543"/>
      <c r="Q93" s="543"/>
      <c r="R93" s="543"/>
      <c r="S93" s="543"/>
      <c r="T93" s="543"/>
      <c r="U93" s="544"/>
    </row>
    <row r="94" spans="2:21" ht="18" thickBot="1" x14ac:dyDescent="0.45">
      <c r="B94" s="525"/>
      <c r="C94" s="526"/>
      <c r="D94" s="376" t="s">
        <v>144</v>
      </c>
      <c r="E94" s="545" t="s">
        <v>404</v>
      </c>
      <c r="F94" s="546"/>
      <c r="G94" s="546"/>
      <c r="H94" s="546"/>
      <c r="I94" s="546"/>
      <c r="J94" s="546"/>
      <c r="K94" s="546"/>
      <c r="L94" s="546"/>
      <c r="M94" s="546"/>
      <c r="N94" s="546"/>
      <c r="O94" s="546"/>
      <c r="P94" s="546"/>
      <c r="Q94" s="546"/>
      <c r="R94" s="546"/>
      <c r="S94" s="546"/>
      <c r="T94" s="546"/>
      <c r="U94" s="547"/>
    </row>
    <row r="95" spans="2:21" ht="18" thickBot="1" x14ac:dyDescent="0.45">
      <c r="B95" s="525"/>
      <c r="C95" s="526"/>
      <c r="D95" s="375" t="s">
        <v>145</v>
      </c>
      <c r="E95" s="542" t="s">
        <v>405</v>
      </c>
      <c r="F95" s="543"/>
      <c r="G95" s="543"/>
      <c r="H95" s="543"/>
      <c r="I95" s="543"/>
      <c r="J95" s="543"/>
      <c r="K95" s="543"/>
      <c r="L95" s="543"/>
      <c r="M95" s="543"/>
      <c r="N95" s="543"/>
      <c r="O95" s="543"/>
      <c r="P95" s="543"/>
      <c r="Q95" s="543"/>
      <c r="R95" s="543"/>
      <c r="S95" s="543"/>
      <c r="T95" s="543"/>
      <c r="U95" s="544"/>
    </row>
    <row r="96" spans="2:21" ht="18" thickBot="1" x14ac:dyDescent="0.45">
      <c r="B96" s="525"/>
      <c r="C96" s="526"/>
      <c r="D96" s="377" t="s">
        <v>146</v>
      </c>
      <c r="E96" s="545" t="s">
        <v>406</v>
      </c>
      <c r="F96" s="546"/>
      <c r="G96" s="546"/>
      <c r="H96" s="546"/>
      <c r="I96" s="546"/>
      <c r="J96" s="546"/>
      <c r="K96" s="546"/>
      <c r="L96" s="546"/>
      <c r="M96" s="546"/>
      <c r="N96" s="546"/>
      <c r="O96" s="546"/>
      <c r="P96" s="546"/>
      <c r="Q96" s="546"/>
      <c r="R96" s="546"/>
      <c r="S96" s="546"/>
      <c r="T96" s="546"/>
      <c r="U96" s="547"/>
    </row>
    <row r="97" spans="2:21" ht="18" thickBot="1" x14ac:dyDescent="0.45">
      <c r="B97" s="525"/>
      <c r="C97" s="526"/>
      <c r="D97" s="378" t="s">
        <v>293</v>
      </c>
      <c r="E97" s="548" t="s">
        <v>394</v>
      </c>
      <c r="F97" s="549"/>
      <c r="G97" s="549"/>
      <c r="H97" s="549"/>
      <c r="I97" s="549"/>
      <c r="J97" s="549"/>
      <c r="K97" s="549"/>
      <c r="L97" s="549"/>
      <c r="M97" s="549"/>
      <c r="N97" s="549"/>
      <c r="O97" s="549"/>
      <c r="P97" s="549"/>
      <c r="Q97" s="549"/>
      <c r="R97" s="549"/>
      <c r="S97" s="549"/>
      <c r="T97" s="549"/>
      <c r="U97" s="550"/>
    </row>
    <row r="98" spans="2:21" ht="18" thickBot="1" x14ac:dyDescent="0.45">
      <c r="B98" s="525"/>
      <c r="C98" s="526"/>
      <c r="D98" s="372" t="s">
        <v>294</v>
      </c>
      <c r="E98" s="539" t="s">
        <v>395</v>
      </c>
      <c r="F98" s="540"/>
      <c r="G98" s="540"/>
      <c r="H98" s="540"/>
      <c r="I98" s="540"/>
      <c r="J98" s="540"/>
      <c r="K98" s="540"/>
      <c r="L98" s="540"/>
      <c r="M98" s="540"/>
      <c r="N98" s="540"/>
      <c r="O98" s="540"/>
      <c r="P98" s="540"/>
      <c r="Q98" s="540"/>
      <c r="R98" s="540"/>
      <c r="S98" s="540"/>
      <c r="T98" s="540"/>
      <c r="U98" s="541"/>
    </row>
    <row r="99" spans="2:21" ht="18" thickBot="1" x14ac:dyDescent="0.45">
      <c r="B99" s="525"/>
      <c r="C99" s="526"/>
      <c r="D99" s="367" t="s">
        <v>147</v>
      </c>
      <c r="E99" s="536" t="s">
        <v>396</v>
      </c>
      <c r="F99" s="537"/>
      <c r="G99" s="537"/>
      <c r="H99" s="537"/>
      <c r="I99" s="537"/>
      <c r="J99" s="537"/>
      <c r="K99" s="537"/>
      <c r="L99" s="537"/>
      <c r="M99" s="537"/>
      <c r="N99" s="537"/>
      <c r="O99" s="537"/>
      <c r="P99" s="537"/>
      <c r="Q99" s="537"/>
      <c r="R99" s="537"/>
      <c r="S99" s="537"/>
      <c r="T99" s="537"/>
      <c r="U99" s="538"/>
    </row>
    <row r="100" spans="2:21" ht="18" thickBot="1" x14ac:dyDescent="0.45">
      <c r="B100" s="525"/>
      <c r="C100" s="526"/>
      <c r="D100" s="372" t="s">
        <v>36</v>
      </c>
      <c r="E100" s="539" t="s">
        <v>407</v>
      </c>
      <c r="F100" s="540"/>
      <c r="G100" s="540"/>
      <c r="H100" s="540"/>
      <c r="I100" s="540"/>
      <c r="J100" s="540"/>
      <c r="K100" s="540"/>
      <c r="L100" s="540"/>
      <c r="M100" s="540"/>
      <c r="N100" s="540"/>
      <c r="O100" s="540"/>
      <c r="P100" s="540"/>
      <c r="Q100" s="540"/>
      <c r="R100" s="540"/>
      <c r="S100" s="540"/>
      <c r="T100" s="540"/>
      <c r="U100" s="541"/>
    </row>
    <row r="101" spans="2:21" ht="18" thickBot="1" x14ac:dyDescent="0.45">
      <c r="B101" s="525"/>
      <c r="C101" s="526"/>
      <c r="D101" s="367" t="s">
        <v>148</v>
      </c>
      <c r="E101" s="536" t="s">
        <v>398</v>
      </c>
      <c r="F101" s="537"/>
      <c r="G101" s="537"/>
      <c r="H101" s="537"/>
      <c r="I101" s="537"/>
      <c r="J101" s="537"/>
      <c r="K101" s="537"/>
      <c r="L101" s="537"/>
      <c r="M101" s="537"/>
      <c r="N101" s="537"/>
      <c r="O101" s="537"/>
      <c r="P101" s="537"/>
      <c r="Q101" s="537"/>
      <c r="R101" s="537"/>
      <c r="S101" s="537"/>
      <c r="T101" s="537"/>
      <c r="U101" s="538"/>
    </row>
    <row r="102" spans="2:21" ht="18" thickBot="1" x14ac:dyDescent="0.45">
      <c r="B102" s="525"/>
      <c r="C102" s="526"/>
      <c r="D102" s="372" t="s">
        <v>149</v>
      </c>
      <c r="E102" s="539" t="s">
        <v>399</v>
      </c>
      <c r="F102" s="540"/>
      <c r="G102" s="540"/>
      <c r="H102" s="540"/>
      <c r="I102" s="540"/>
      <c r="J102" s="540"/>
      <c r="K102" s="540"/>
      <c r="L102" s="540"/>
      <c r="M102" s="540"/>
      <c r="N102" s="540"/>
      <c r="O102" s="540"/>
      <c r="P102" s="540"/>
      <c r="Q102" s="540"/>
      <c r="R102" s="540"/>
      <c r="S102" s="540"/>
      <c r="T102" s="540"/>
      <c r="U102" s="541"/>
    </row>
    <row r="103" spans="2:21" ht="18" thickBot="1" x14ac:dyDescent="0.45">
      <c r="B103" s="525"/>
      <c r="C103" s="526"/>
      <c r="D103" s="367" t="s">
        <v>150</v>
      </c>
      <c r="E103" s="536" t="s">
        <v>400</v>
      </c>
      <c r="F103" s="537"/>
      <c r="G103" s="537"/>
      <c r="H103" s="537"/>
      <c r="I103" s="537"/>
      <c r="J103" s="537"/>
      <c r="K103" s="537"/>
      <c r="L103" s="537"/>
      <c r="M103" s="537"/>
      <c r="N103" s="537"/>
      <c r="O103" s="537"/>
      <c r="P103" s="537"/>
      <c r="Q103" s="537"/>
      <c r="R103" s="537"/>
      <c r="S103" s="537"/>
      <c r="T103" s="537"/>
      <c r="U103" s="538"/>
    </row>
    <row r="104" spans="2:21" ht="18" thickBot="1" x14ac:dyDescent="0.45">
      <c r="B104" s="525"/>
      <c r="C104" s="526"/>
      <c r="D104" s="372" t="s">
        <v>142</v>
      </c>
      <c r="E104" s="539" t="s">
        <v>401</v>
      </c>
      <c r="F104" s="540"/>
      <c r="G104" s="540"/>
      <c r="H104" s="540"/>
      <c r="I104" s="540"/>
      <c r="J104" s="540"/>
      <c r="K104" s="540"/>
      <c r="L104" s="540"/>
      <c r="M104" s="540"/>
      <c r="N104" s="540"/>
      <c r="O104" s="540"/>
      <c r="P104" s="540"/>
      <c r="Q104" s="540"/>
      <c r="R104" s="540"/>
      <c r="S104" s="540"/>
      <c r="T104" s="540"/>
      <c r="U104" s="541"/>
    </row>
    <row r="105" spans="2:21" ht="18" thickBot="1" x14ac:dyDescent="0.45">
      <c r="B105" s="525"/>
      <c r="C105" s="526"/>
      <c r="D105" s="367" t="s">
        <v>42</v>
      </c>
      <c r="E105" s="536" t="s">
        <v>402</v>
      </c>
      <c r="F105" s="537"/>
      <c r="G105" s="537"/>
      <c r="H105" s="537"/>
      <c r="I105" s="537"/>
      <c r="J105" s="537"/>
      <c r="K105" s="537"/>
      <c r="L105" s="537"/>
      <c r="M105" s="537"/>
      <c r="N105" s="537"/>
      <c r="O105" s="537"/>
      <c r="P105" s="537"/>
      <c r="Q105" s="537"/>
      <c r="R105" s="537"/>
      <c r="S105" s="537"/>
      <c r="T105" s="537"/>
      <c r="U105" s="538"/>
    </row>
    <row r="106" spans="2:21" ht="18" thickBot="1" x14ac:dyDescent="0.45">
      <c r="B106" s="525"/>
      <c r="C106" s="526"/>
      <c r="D106" s="372" t="s">
        <v>151</v>
      </c>
      <c r="E106" s="539" t="s">
        <v>403</v>
      </c>
      <c r="F106" s="540"/>
      <c r="G106" s="540"/>
      <c r="H106" s="540"/>
      <c r="I106" s="540"/>
      <c r="J106" s="540"/>
      <c r="K106" s="540"/>
      <c r="L106" s="540"/>
      <c r="M106" s="540"/>
      <c r="N106" s="540"/>
      <c r="O106" s="540"/>
      <c r="P106" s="540"/>
      <c r="Q106" s="540"/>
      <c r="R106" s="540"/>
      <c r="S106" s="540"/>
      <c r="T106" s="540"/>
      <c r="U106" s="541"/>
    </row>
    <row r="107" spans="2:21" ht="18" thickBot="1" x14ac:dyDescent="0.45">
      <c r="B107" s="525"/>
      <c r="C107" s="526"/>
      <c r="D107" s="367" t="s">
        <v>152</v>
      </c>
      <c r="E107" s="536" t="s">
        <v>404</v>
      </c>
      <c r="F107" s="537"/>
      <c r="G107" s="537"/>
      <c r="H107" s="537"/>
      <c r="I107" s="537"/>
      <c r="J107" s="537"/>
      <c r="K107" s="537"/>
      <c r="L107" s="537"/>
      <c r="M107" s="537"/>
      <c r="N107" s="537"/>
      <c r="O107" s="537"/>
      <c r="P107" s="537"/>
      <c r="Q107" s="537"/>
      <c r="R107" s="537"/>
      <c r="S107" s="537"/>
      <c r="T107" s="537"/>
      <c r="U107" s="538"/>
    </row>
    <row r="108" spans="2:21" ht="18" thickBot="1" x14ac:dyDescent="0.45">
      <c r="B108" s="525"/>
      <c r="C108" s="526"/>
      <c r="D108" s="372" t="s">
        <v>153</v>
      </c>
      <c r="E108" s="539" t="s">
        <v>405</v>
      </c>
      <c r="F108" s="540"/>
      <c r="G108" s="540"/>
      <c r="H108" s="540"/>
      <c r="I108" s="540"/>
      <c r="J108" s="540"/>
      <c r="K108" s="540"/>
      <c r="L108" s="540"/>
      <c r="M108" s="540"/>
      <c r="N108" s="540"/>
      <c r="O108" s="540"/>
      <c r="P108" s="540"/>
      <c r="Q108" s="540"/>
      <c r="R108" s="540"/>
      <c r="S108" s="540"/>
      <c r="T108" s="540"/>
      <c r="U108" s="541"/>
    </row>
    <row r="109" spans="2:21" ht="18" thickBot="1" x14ac:dyDescent="0.45">
      <c r="B109" s="525"/>
      <c r="C109" s="526"/>
      <c r="D109" s="367" t="s">
        <v>154</v>
      </c>
      <c r="E109" s="536" t="s">
        <v>406</v>
      </c>
      <c r="F109" s="537"/>
      <c r="G109" s="537"/>
      <c r="H109" s="537"/>
      <c r="I109" s="537"/>
      <c r="J109" s="537"/>
      <c r="K109" s="537"/>
      <c r="L109" s="537"/>
      <c r="M109" s="537"/>
      <c r="N109" s="537"/>
      <c r="O109" s="537"/>
      <c r="P109" s="537"/>
      <c r="Q109" s="537"/>
      <c r="R109" s="537"/>
      <c r="S109" s="537"/>
      <c r="T109" s="537"/>
      <c r="U109" s="538"/>
    </row>
    <row r="110" spans="2:21" ht="18" thickBot="1" x14ac:dyDescent="0.45">
      <c r="B110" s="525"/>
      <c r="C110" s="526"/>
      <c r="D110" s="372" t="s">
        <v>295</v>
      </c>
      <c r="E110" s="539" t="s">
        <v>394</v>
      </c>
      <c r="F110" s="540"/>
      <c r="G110" s="540"/>
      <c r="H110" s="540"/>
      <c r="I110" s="540"/>
      <c r="J110" s="540"/>
      <c r="K110" s="540"/>
      <c r="L110" s="540"/>
      <c r="M110" s="540"/>
      <c r="N110" s="540"/>
      <c r="O110" s="540"/>
      <c r="P110" s="540"/>
      <c r="Q110" s="540"/>
      <c r="R110" s="540"/>
      <c r="S110" s="540"/>
      <c r="T110" s="540"/>
      <c r="U110" s="541"/>
    </row>
    <row r="111" spans="2:21" ht="18" thickBot="1" x14ac:dyDescent="0.45">
      <c r="B111" s="525"/>
      <c r="C111" s="526"/>
      <c r="D111" s="367" t="s">
        <v>296</v>
      </c>
      <c r="E111" s="536" t="s">
        <v>395</v>
      </c>
      <c r="F111" s="537"/>
      <c r="G111" s="537"/>
      <c r="H111" s="537"/>
      <c r="I111" s="537"/>
      <c r="J111" s="537"/>
      <c r="K111" s="537"/>
      <c r="L111" s="537"/>
      <c r="M111" s="537"/>
      <c r="N111" s="537"/>
      <c r="O111" s="537"/>
      <c r="P111" s="537"/>
      <c r="Q111" s="537"/>
      <c r="R111" s="537"/>
      <c r="S111" s="537"/>
      <c r="T111" s="537"/>
      <c r="U111" s="538"/>
    </row>
    <row r="112" spans="2:21" ht="18" thickBot="1" x14ac:dyDescent="0.45">
      <c r="B112" s="525"/>
      <c r="C112" s="526"/>
      <c r="D112" s="372" t="s">
        <v>155</v>
      </c>
      <c r="E112" s="539" t="s">
        <v>396</v>
      </c>
      <c r="F112" s="540"/>
      <c r="G112" s="540"/>
      <c r="H112" s="540"/>
      <c r="I112" s="540"/>
      <c r="J112" s="540"/>
      <c r="K112" s="540"/>
      <c r="L112" s="540"/>
      <c r="M112" s="540"/>
      <c r="N112" s="540"/>
      <c r="O112" s="540"/>
      <c r="P112" s="540"/>
      <c r="Q112" s="540"/>
      <c r="R112" s="540"/>
      <c r="S112" s="540"/>
      <c r="T112" s="540"/>
      <c r="U112" s="541"/>
    </row>
    <row r="113" spans="2:21" ht="18" thickBot="1" x14ac:dyDescent="0.45">
      <c r="B113" s="525"/>
      <c r="C113" s="526"/>
      <c r="D113" s="367" t="s">
        <v>37</v>
      </c>
      <c r="E113" s="536" t="s">
        <v>408</v>
      </c>
      <c r="F113" s="537"/>
      <c r="G113" s="537"/>
      <c r="H113" s="537"/>
      <c r="I113" s="537"/>
      <c r="J113" s="537"/>
      <c r="K113" s="537"/>
      <c r="L113" s="537"/>
      <c r="M113" s="537"/>
      <c r="N113" s="537"/>
      <c r="O113" s="537"/>
      <c r="P113" s="537"/>
      <c r="Q113" s="537"/>
      <c r="R113" s="537"/>
      <c r="S113" s="537"/>
      <c r="T113" s="537"/>
      <c r="U113" s="538"/>
    </row>
    <row r="114" spans="2:21" ht="18" thickBot="1" x14ac:dyDescent="0.45">
      <c r="B114" s="525"/>
      <c r="C114" s="526"/>
      <c r="D114" s="372" t="s">
        <v>156</v>
      </c>
      <c r="E114" s="539" t="s">
        <v>398</v>
      </c>
      <c r="F114" s="540"/>
      <c r="G114" s="540"/>
      <c r="H114" s="540"/>
      <c r="I114" s="540"/>
      <c r="J114" s="540"/>
      <c r="K114" s="540"/>
      <c r="L114" s="540"/>
      <c r="M114" s="540"/>
      <c r="N114" s="540"/>
      <c r="O114" s="540"/>
      <c r="P114" s="540"/>
      <c r="Q114" s="540"/>
      <c r="R114" s="540"/>
      <c r="S114" s="540"/>
      <c r="T114" s="540"/>
      <c r="U114" s="541"/>
    </row>
    <row r="115" spans="2:21" ht="18" thickBot="1" x14ac:dyDescent="0.45">
      <c r="B115" s="525"/>
      <c r="C115" s="526"/>
      <c r="D115" s="367" t="s">
        <v>157</v>
      </c>
      <c r="E115" s="536" t="s">
        <v>399</v>
      </c>
      <c r="F115" s="537"/>
      <c r="G115" s="537"/>
      <c r="H115" s="537"/>
      <c r="I115" s="537"/>
      <c r="J115" s="537"/>
      <c r="K115" s="537"/>
      <c r="L115" s="537"/>
      <c r="M115" s="537"/>
      <c r="N115" s="537"/>
      <c r="O115" s="537"/>
      <c r="P115" s="537"/>
      <c r="Q115" s="537"/>
      <c r="R115" s="537"/>
      <c r="S115" s="537"/>
      <c r="T115" s="537"/>
      <c r="U115" s="538"/>
    </row>
    <row r="116" spans="2:21" ht="18" thickBot="1" x14ac:dyDescent="0.45">
      <c r="B116" s="525"/>
      <c r="C116" s="526"/>
      <c r="D116" s="372" t="s">
        <v>158</v>
      </c>
      <c r="E116" s="539" t="s">
        <v>400</v>
      </c>
      <c r="F116" s="540"/>
      <c r="G116" s="540"/>
      <c r="H116" s="540"/>
      <c r="I116" s="540"/>
      <c r="J116" s="540"/>
      <c r="K116" s="540"/>
      <c r="L116" s="540"/>
      <c r="M116" s="540"/>
      <c r="N116" s="540"/>
      <c r="O116" s="540"/>
      <c r="P116" s="540"/>
      <c r="Q116" s="540"/>
      <c r="R116" s="540"/>
      <c r="S116" s="540"/>
      <c r="T116" s="540"/>
      <c r="U116" s="541"/>
    </row>
    <row r="117" spans="2:21" ht="18" thickBot="1" x14ac:dyDescent="0.45">
      <c r="B117" s="525"/>
      <c r="C117" s="526"/>
      <c r="D117" s="367" t="s">
        <v>142</v>
      </c>
      <c r="E117" s="536" t="s">
        <v>401</v>
      </c>
      <c r="F117" s="537"/>
      <c r="G117" s="537"/>
      <c r="H117" s="537"/>
      <c r="I117" s="537"/>
      <c r="J117" s="537"/>
      <c r="K117" s="537"/>
      <c r="L117" s="537"/>
      <c r="M117" s="537"/>
      <c r="N117" s="537"/>
      <c r="O117" s="537"/>
      <c r="P117" s="537"/>
      <c r="Q117" s="537"/>
      <c r="R117" s="537"/>
      <c r="S117" s="537"/>
      <c r="T117" s="537"/>
      <c r="U117" s="538"/>
    </row>
    <row r="118" spans="2:21" ht="18" thickBot="1" x14ac:dyDescent="0.45">
      <c r="B118" s="525"/>
      <c r="C118" s="526"/>
      <c r="D118" s="372" t="s">
        <v>43</v>
      </c>
      <c r="E118" s="539" t="s">
        <v>402</v>
      </c>
      <c r="F118" s="540"/>
      <c r="G118" s="540"/>
      <c r="H118" s="540"/>
      <c r="I118" s="540"/>
      <c r="J118" s="540"/>
      <c r="K118" s="540"/>
      <c r="L118" s="540"/>
      <c r="M118" s="540"/>
      <c r="N118" s="540"/>
      <c r="O118" s="540"/>
      <c r="P118" s="540"/>
      <c r="Q118" s="540"/>
      <c r="R118" s="540"/>
      <c r="S118" s="540"/>
      <c r="T118" s="540"/>
      <c r="U118" s="541"/>
    </row>
    <row r="119" spans="2:21" ht="18" thickBot="1" x14ac:dyDescent="0.45">
      <c r="B119" s="525"/>
      <c r="C119" s="526"/>
      <c r="D119" s="367" t="s">
        <v>159</v>
      </c>
      <c r="E119" s="536" t="s">
        <v>403</v>
      </c>
      <c r="F119" s="537"/>
      <c r="G119" s="537"/>
      <c r="H119" s="537"/>
      <c r="I119" s="537"/>
      <c r="J119" s="537"/>
      <c r="K119" s="537"/>
      <c r="L119" s="537"/>
      <c r="M119" s="537"/>
      <c r="N119" s="537"/>
      <c r="O119" s="537"/>
      <c r="P119" s="537"/>
      <c r="Q119" s="537"/>
      <c r="R119" s="537"/>
      <c r="S119" s="537"/>
      <c r="T119" s="537"/>
      <c r="U119" s="538"/>
    </row>
    <row r="120" spans="2:21" ht="18" thickBot="1" x14ac:dyDescent="0.45">
      <c r="B120" s="525"/>
      <c r="C120" s="526"/>
      <c r="D120" s="372" t="s">
        <v>160</v>
      </c>
      <c r="E120" s="539" t="s">
        <v>404</v>
      </c>
      <c r="F120" s="540"/>
      <c r="G120" s="540"/>
      <c r="H120" s="540"/>
      <c r="I120" s="540"/>
      <c r="J120" s="540"/>
      <c r="K120" s="540"/>
      <c r="L120" s="540"/>
      <c r="M120" s="540"/>
      <c r="N120" s="540"/>
      <c r="O120" s="540"/>
      <c r="P120" s="540"/>
      <c r="Q120" s="540"/>
      <c r="R120" s="540"/>
      <c r="S120" s="540"/>
      <c r="T120" s="540"/>
      <c r="U120" s="541"/>
    </row>
    <row r="121" spans="2:21" ht="18" thickBot="1" x14ac:dyDescent="0.45">
      <c r="B121" s="525"/>
      <c r="C121" s="526"/>
      <c r="D121" s="367" t="s">
        <v>161</v>
      </c>
      <c r="E121" s="536" t="s">
        <v>405</v>
      </c>
      <c r="F121" s="537"/>
      <c r="G121" s="537"/>
      <c r="H121" s="537"/>
      <c r="I121" s="537"/>
      <c r="J121" s="537"/>
      <c r="K121" s="537"/>
      <c r="L121" s="537"/>
      <c r="M121" s="537"/>
      <c r="N121" s="537"/>
      <c r="O121" s="537"/>
      <c r="P121" s="537"/>
      <c r="Q121" s="537"/>
      <c r="R121" s="537"/>
      <c r="S121" s="537"/>
      <c r="T121" s="537"/>
      <c r="U121" s="538"/>
    </row>
    <row r="122" spans="2:21" ht="18" thickBot="1" x14ac:dyDescent="0.45">
      <c r="B122" s="525"/>
      <c r="C122" s="526"/>
      <c r="D122" s="372" t="s">
        <v>162</v>
      </c>
      <c r="E122" s="539" t="s">
        <v>406</v>
      </c>
      <c r="F122" s="540"/>
      <c r="G122" s="540"/>
      <c r="H122" s="540"/>
      <c r="I122" s="540"/>
      <c r="J122" s="540"/>
      <c r="K122" s="540"/>
      <c r="L122" s="540"/>
      <c r="M122" s="540"/>
      <c r="N122" s="540"/>
      <c r="O122" s="540"/>
      <c r="P122" s="540"/>
      <c r="Q122" s="540"/>
      <c r="R122" s="540"/>
      <c r="S122" s="540"/>
      <c r="T122" s="540"/>
      <c r="U122" s="541"/>
    </row>
    <row r="123" spans="2:21" ht="18" thickBot="1" x14ac:dyDescent="0.45">
      <c r="B123" s="525"/>
      <c r="C123" s="526"/>
      <c r="D123" s="367" t="s">
        <v>297</v>
      </c>
      <c r="E123" s="536" t="s">
        <v>395</v>
      </c>
      <c r="F123" s="537"/>
      <c r="G123" s="537"/>
      <c r="H123" s="537"/>
      <c r="I123" s="537"/>
      <c r="J123" s="537"/>
      <c r="K123" s="537"/>
      <c r="L123" s="537"/>
      <c r="M123" s="537"/>
      <c r="N123" s="537"/>
      <c r="O123" s="537"/>
      <c r="P123" s="537"/>
      <c r="Q123" s="537"/>
      <c r="R123" s="537"/>
      <c r="S123" s="537"/>
      <c r="T123" s="537"/>
      <c r="U123" s="538"/>
    </row>
    <row r="124" spans="2:21" ht="18" thickBot="1" x14ac:dyDescent="0.45">
      <c r="B124" s="525"/>
      <c r="C124" s="526"/>
      <c r="D124" s="372" t="s">
        <v>298</v>
      </c>
      <c r="E124" s="539" t="s">
        <v>396</v>
      </c>
      <c r="F124" s="540"/>
      <c r="G124" s="540"/>
      <c r="H124" s="540"/>
      <c r="I124" s="540"/>
      <c r="J124" s="540"/>
      <c r="K124" s="540"/>
      <c r="L124" s="540"/>
      <c r="M124" s="540"/>
      <c r="N124" s="540"/>
      <c r="O124" s="540"/>
      <c r="P124" s="540"/>
      <c r="Q124" s="540"/>
      <c r="R124" s="540"/>
      <c r="S124" s="540"/>
      <c r="T124" s="540"/>
      <c r="U124" s="541"/>
    </row>
    <row r="125" spans="2:21" ht="18" thickBot="1" x14ac:dyDescent="0.45">
      <c r="B125" s="525"/>
      <c r="C125" s="526"/>
      <c r="D125" s="367" t="s">
        <v>163</v>
      </c>
      <c r="E125" s="536" t="s">
        <v>409</v>
      </c>
      <c r="F125" s="537"/>
      <c r="G125" s="537"/>
      <c r="H125" s="537"/>
      <c r="I125" s="537"/>
      <c r="J125" s="537"/>
      <c r="K125" s="537"/>
      <c r="L125" s="537"/>
      <c r="M125" s="537"/>
      <c r="N125" s="537"/>
      <c r="O125" s="537"/>
      <c r="P125" s="537"/>
      <c r="Q125" s="537"/>
      <c r="R125" s="537"/>
      <c r="S125" s="537"/>
      <c r="T125" s="537"/>
      <c r="U125" s="538"/>
    </row>
    <row r="126" spans="2:21" ht="18" thickBot="1" x14ac:dyDescent="0.45">
      <c r="B126" s="525"/>
      <c r="C126" s="526"/>
      <c r="D126" s="372" t="s">
        <v>164</v>
      </c>
      <c r="E126" s="539" t="s">
        <v>398</v>
      </c>
      <c r="F126" s="540"/>
      <c r="G126" s="540"/>
      <c r="H126" s="540"/>
      <c r="I126" s="540"/>
      <c r="J126" s="540"/>
      <c r="K126" s="540"/>
      <c r="L126" s="540"/>
      <c r="M126" s="540"/>
      <c r="N126" s="540"/>
      <c r="O126" s="540"/>
      <c r="P126" s="540"/>
      <c r="Q126" s="540"/>
      <c r="R126" s="540"/>
      <c r="S126" s="540"/>
      <c r="T126" s="540"/>
      <c r="U126" s="541"/>
    </row>
    <row r="127" spans="2:21" ht="18" thickBot="1" x14ac:dyDescent="0.45">
      <c r="B127" s="525"/>
      <c r="C127" s="526"/>
      <c r="D127" s="367" t="s">
        <v>165</v>
      </c>
      <c r="E127" s="536" t="s">
        <v>399</v>
      </c>
      <c r="F127" s="537"/>
      <c r="G127" s="537"/>
      <c r="H127" s="537"/>
      <c r="I127" s="537"/>
      <c r="J127" s="537"/>
      <c r="K127" s="537"/>
      <c r="L127" s="537"/>
      <c r="M127" s="537"/>
      <c r="N127" s="537"/>
      <c r="O127" s="537"/>
      <c r="P127" s="537"/>
      <c r="Q127" s="537"/>
      <c r="R127" s="537"/>
      <c r="S127" s="537"/>
      <c r="T127" s="537"/>
      <c r="U127" s="538"/>
    </row>
    <row r="128" spans="2:21" ht="18" thickBot="1" x14ac:dyDescent="0.45">
      <c r="B128" s="525"/>
      <c r="C128" s="526"/>
      <c r="D128" s="372" t="s">
        <v>166</v>
      </c>
      <c r="E128" s="539" t="s">
        <v>400</v>
      </c>
      <c r="F128" s="540"/>
      <c r="G128" s="540"/>
      <c r="H128" s="540"/>
      <c r="I128" s="540"/>
      <c r="J128" s="540"/>
      <c r="K128" s="540"/>
      <c r="L128" s="540"/>
      <c r="M128" s="540"/>
      <c r="N128" s="540"/>
      <c r="O128" s="540"/>
      <c r="P128" s="540"/>
      <c r="Q128" s="540"/>
      <c r="R128" s="540"/>
      <c r="S128" s="540"/>
      <c r="T128" s="540"/>
      <c r="U128" s="541"/>
    </row>
    <row r="129" spans="2:21" ht="18" thickBot="1" x14ac:dyDescent="0.45">
      <c r="B129" s="525"/>
      <c r="C129" s="526"/>
      <c r="D129" s="367" t="s">
        <v>167</v>
      </c>
      <c r="E129" s="536" t="s">
        <v>401</v>
      </c>
      <c r="F129" s="537"/>
      <c r="G129" s="537"/>
      <c r="H129" s="537"/>
      <c r="I129" s="537"/>
      <c r="J129" s="537"/>
      <c r="K129" s="537"/>
      <c r="L129" s="537"/>
      <c r="M129" s="537"/>
      <c r="N129" s="537"/>
      <c r="O129" s="537"/>
      <c r="P129" s="537"/>
      <c r="Q129" s="537"/>
      <c r="R129" s="537"/>
      <c r="S129" s="537"/>
      <c r="T129" s="537"/>
      <c r="U129" s="538"/>
    </row>
    <row r="130" spans="2:21" ht="18" thickBot="1" x14ac:dyDescent="0.45">
      <c r="B130" s="525"/>
      <c r="C130" s="526"/>
      <c r="D130" s="372" t="s">
        <v>168</v>
      </c>
      <c r="E130" s="539" t="s">
        <v>402</v>
      </c>
      <c r="F130" s="540"/>
      <c r="G130" s="540"/>
      <c r="H130" s="540"/>
      <c r="I130" s="540"/>
      <c r="J130" s="540"/>
      <c r="K130" s="540"/>
      <c r="L130" s="540"/>
      <c r="M130" s="540"/>
      <c r="N130" s="540"/>
      <c r="O130" s="540"/>
      <c r="P130" s="540"/>
      <c r="Q130" s="540"/>
      <c r="R130" s="540"/>
      <c r="S130" s="540"/>
      <c r="T130" s="540"/>
      <c r="U130" s="541"/>
    </row>
    <row r="131" spans="2:21" ht="18" thickBot="1" x14ac:dyDescent="0.45">
      <c r="B131" s="527"/>
      <c r="C131" s="528"/>
      <c r="D131" s="367" t="s">
        <v>169</v>
      </c>
      <c r="E131" s="536" t="s">
        <v>403</v>
      </c>
      <c r="F131" s="537"/>
      <c r="G131" s="537"/>
      <c r="H131" s="537"/>
      <c r="I131" s="537"/>
      <c r="J131" s="537"/>
      <c r="K131" s="537"/>
      <c r="L131" s="537"/>
      <c r="M131" s="537"/>
      <c r="N131" s="537"/>
      <c r="O131" s="537"/>
      <c r="P131" s="537"/>
      <c r="Q131" s="537"/>
      <c r="R131" s="537"/>
      <c r="S131" s="537"/>
      <c r="T131" s="537"/>
      <c r="U131" s="538"/>
    </row>
    <row r="132" spans="2:21" ht="29.25" thickBot="1" x14ac:dyDescent="0.45">
      <c r="B132" s="523" t="s">
        <v>170</v>
      </c>
      <c r="C132" s="524"/>
      <c r="D132" s="372" t="s">
        <v>171</v>
      </c>
      <c r="E132" s="539" t="s">
        <v>410</v>
      </c>
      <c r="F132" s="540"/>
      <c r="G132" s="540"/>
      <c r="H132" s="540"/>
      <c r="I132" s="540"/>
      <c r="J132" s="540"/>
      <c r="K132" s="540"/>
      <c r="L132" s="540"/>
      <c r="M132" s="540"/>
      <c r="N132" s="540"/>
      <c r="O132" s="540"/>
      <c r="P132" s="540"/>
      <c r="Q132" s="540"/>
      <c r="R132" s="540"/>
      <c r="S132" s="540"/>
      <c r="T132" s="540"/>
      <c r="U132" s="541"/>
    </row>
    <row r="133" spans="2:21" ht="29.25" thickBot="1" x14ac:dyDescent="0.45">
      <c r="B133" s="525"/>
      <c r="C133" s="526"/>
      <c r="D133" s="367" t="s">
        <v>172</v>
      </c>
      <c r="E133" s="536" t="s">
        <v>411</v>
      </c>
      <c r="F133" s="537"/>
      <c r="G133" s="537"/>
      <c r="H133" s="537"/>
      <c r="I133" s="537"/>
      <c r="J133" s="537"/>
      <c r="K133" s="537"/>
      <c r="L133" s="537"/>
      <c r="M133" s="537"/>
      <c r="N133" s="537"/>
      <c r="O133" s="537"/>
      <c r="P133" s="537"/>
      <c r="Q133" s="537"/>
      <c r="R133" s="537"/>
      <c r="S133" s="537"/>
      <c r="T133" s="537"/>
      <c r="U133" s="538"/>
    </row>
    <row r="134" spans="2:21" ht="18" thickBot="1" x14ac:dyDescent="0.45">
      <c r="B134" s="525"/>
      <c r="C134" s="526"/>
      <c r="D134" s="372" t="s">
        <v>173</v>
      </c>
      <c r="E134" s="539" t="s">
        <v>412</v>
      </c>
      <c r="F134" s="540"/>
      <c r="G134" s="540"/>
      <c r="H134" s="540"/>
      <c r="I134" s="540"/>
      <c r="J134" s="540"/>
      <c r="K134" s="540"/>
      <c r="L134" s="540"/>
      <c r="M134" s="540"/>
      <c r="N134" s="540"/>
      <c r="O134" s="540"/>
      <c r="P134" s="540"/>
      <c r="Q134" s="540"/>
      <c r="R134" s="540"/>
      <c r="S134" s="540"/>
      <c r="T134" s="540"/>
      <c r="U134" s="541"/>
    </row>
    <row r="135" spans="2:21" ht="43.5" thickBot="1" x14ac:dyDescent="0.45">
      <c r="B135" s="527"/>
      <c r="C135" s="528"/>
      <c r="D135" s="367" t="s">
        <v>220</v>
      </c>
      <c r="E135" s="536" t="s">
        <v>413</v>
      </c>
      <c r="F135" s="537"/>
      <c r="G135" s="537"/>
      <c r="H135" s="537"/>
      <c r="I135" s="537"/>
      <c r="J135" s="537"/>
      <c r="K135" s="537"/>
      <c r="L135" s="537"/>
      <c r="M135" s="537"/>
      <c r="N135" s="537"/>
      <c r="O135" s="537"/>
      <c r="P135" s="537"/>
      <c r="Q135" s="537"/>
      <c r="R135" s="537"/>
      <c r="S135" s="537"/>
      <c r="T135" s="537"/>
      <c r="U135" s="538"/>
    </row>
    <row r="136" spans="2:21" ht="18" thickBot="1" x14ac:dyDescent="0.45">
      <c r="B136" s="523" t="s">
        <v>40</v>
      </c>
      <c r="C136" s="524"/>
      <c r="D136" s="372" t="s">
        <v>44</v>
      </c>
      <c r="E136" s="539" t="s">
        <v>399</v>
      </c>
      <c r="F136" s="540"/>
      <c r="G136" s="540"/>
      <c r="H136" s="540"/>
      <c r="I136" s="540"/>
      <c r="J136" s="540"/>
      <c r="K136" s="540"/>
      <c r="L136" s="540"/>
      <c r="M136" s="540"/>
      <c r="N136" s="540"/>
      <c r="O136" s="540"/>
      <c r="P136" s="540"/>
      <c r="Q136" s="540"/>
      <c r="R136" s="540"/>
      <c r="S136" s="540"/>
      <c r="T136" s="540"/>
      <c r="U136" s="541"/>
    </row>
    <row r="137" spans="2:21" ht="18" thickBot="1" x14ac:dyDescent="0.45">
      <c r="B137" s="525"/>
      <c r="C137" s="526"/>
      <c r="D137" s="367" t="s">
        <v>20</v>
      </c>
      <c r="E137" s="536" t="s">
        <v>414</v>
      </c>
      <c r="F137" s="537"/>
      <c r="G137" s="537"/>
      <c r="H137" s="537"/>
      <c r="I137" s="537"/>
      <c r="J137" s="537"/>
      <c r="K137" s="537"/>
      <c r="L137" s="537"/>
      <c r="M137" s="537"/>
      <c r="N137" s="537"/>
      <c r="O137" s="537"/>
      <c r="P137" s="537"/>
      <c r="Q137" s="537"/>
      <c r="R137" s="537"/>
      <c r="S137" s="537"/>
      <c r="T137" s="537"/>
      <c r="U137" s="538"/>
    </row>
    <row r="138" spans="2:21" ht="29.25" thickBot="1" x14ac:dyDescent="0.45">
      <c r="B138" s="525"/>
      <c r="C138" s="526"/>
      <c r="D138" s="372" t="s">
        <v>64</v>
      </c>
      <c r="E138" s="539" t="s">
        <v>415</v>
      </c>
      <c r="F138" s="540"/>
      <c r="G138" s="540"/>
      <c r="H138" s="540"/>
      <c r="I138" s="540"/>
      <c r="J138" s="540"/>
      <c r="K138" s="540"/>
      <c r="L138" s="540"/>
      <c r="M138" s="540"/>
      <c r="N138" s="540"/>
      <c r="O138" s="540"/>
      <c r="P138" s="540"/>
      <c r="Q138" s="540"/>
      <c r="R138" s="540"/>
      <c r="S138" s="540"/>
      <c r="T138" s="540"/>
      <c r="U138" s="541"/>
    </row>
    <row r="139" spans="2:21" ht="18" thickBot="1" x14ac:dyDescent="0.45">
      <c r="B139" s="525"/>
      <c r="C139" s="526"/>
      <c r="D139" s="367" t="s">
        <v>25</v>
      </c>
      <c r="E139" s="536" t="s">
        <v>416</v>
      </c>
      <c r="F139" s="537"/>
      <c r="G139" s="537"/>
      <c r="H139" s="537"/>
      <c r="I139" s="537"/>
      <c r="J139" s="537"/>
      <c r="K139" s="537"/>
      <c r="L139" s="537"/>
      <c r="M139" s="537"/>
      <c r="N139" s="537"/>
      <c r="O139" s="537"/>
      <c r="P139" s="537"/>
      <c r="Q139" s="537"/>
      <c r="R139" s="537"/>
      <c r="S139" s="537"/>
      <c r="T139" s="537"/>
      <c r="U139" s="538"/>
    </row>
    <row r="140" spans="2:21" ht="18" thickBot="1" x14ac:dyDescent="0.45">
      <c r="B140" s="525"/>
      <c r="C140" s="526"/>
      <c r="D140" s="372" t="s">
        <v>45</v>
      </c>
      <c r="E140" s="539" t="s">
        <v>399</v>
      </c>
      <c r="F140" s="540"/>
      <c r="G140" s="540"/>
      <c r="H140" s="540"/>
      <c r="I140" s="540"/>
      <c r="J140" s="540"/>
      <c r="K140" s="540"/>
      <c r="L140" s="540"/>
      <c r="M140" s="540"/>
      <c r="N140" s="540"/>
      <c r="O140" s="540"/>
      <c r="P140" s="540"/>
      <c r="Q140" s="540"/>
      <c r="R140" s="540"/>
      <c r="S140" s="540"/>
      <c r="T140" s="540"/>
      <c r="U140" s="541"/>
    </row>
    <row r="141" spans="2:21" ht="18" thickBot="1" x14ac:dyDescent="0.45">
      <c r="B141" s="525"/>
      <c r="C141" s="526"/>
      <c r="D141" s="367" t="s">
        <v>46</v>
      </c>
      <c r="E141" s="536" t="s">
        <v>414</v>
      </c>
      <c r="F141" s="537"/>
      <c r="G141" s="537"/>
      <c r="H141" s="537"/>
      <c r="I141" s="537"/>
      <c r="J141" s="537"/>
      <c r="K141" s="537"/>
      <c r="L141" s="537"/>
      <c r="M141" s="537"/>
      <c r="N141" s="537"/>
      <c r="O141" s="537"/>
      <c r="P141" s="537"/>
      <c r="Q141" s="537"/>
      <c r="R141" s="537"/>
      <c r="S141" s="537"/>
      <c r="T141" s="537"/>
      <c r="U141" s="538"/>
    </row>
    <row r="142" spans="2:21" ht="29.25" thickBot="1" x14ac:dyDescent="0.45">
      <c r="B142" s="525"/>
      <c r="C142" s="526"/>
      <c r="D142" s="372" t="s">
        <v>66</v>
      </c>
      <c r="E142" s="539" t="s">
        <v>415</v>
      </c>
      <c r="F142" s="540"/>
      <c r="G142" s="540"/>
      <c r="H142" s="540"/>
      <c r="I142" s="540"/>
      <c r="J142" s="540"/>
      <c r="K142" s="540"/>
      <c r="L142" s="540"/>
      <c r="M142" s="540"/>
      <c r="N142" s="540"/>
      <c r="O142" s="540"/>
      <c r="P142" s="540"/>
      <c r="Q142" s="540"/>
      <c r="R142" s="540"/>
      <c r="S142" s="540"/>
      <c r="T142" s="540"/>
      <c r="U142" s="541"/>
    </row>
    <row r="143" spans="2:21" ht="18" thickBot="1" x14ac:dyDescent="0.45">
      <c r="B143" s="525"/>
      <c r="C143" s="526"/>
      <c r="D143" s="367" t="s">
        <v>47</v>
      </c>
      <c r="E143" s="536" t="s">
        <v>416</v>
      </c>
      <c r="F143" s="537"/>
      <c r="G143" s="537"/>
      <c r="H143" s="537"/>
      <c r="I143" s="537"/>
      <c r="J143" s="537"/>
      <c r="K143" s="537"/>
      <c r="L143" s="537"/>
      <c r="M143" s="537"/>
      <c r="N143" s="537"/>
      <c r="O143" s="537"/>
      <c r="P143" s="537"/>
      <c r="Q143" s="537"/>
      <c r="R143" s="537"/>
      <c r="S143" s="537"/>
      <c r="T143" s="537"/>
      <c r="U143" s="538"/>
    </row>
    <row r="144" spans="2:21" ht="18" thickBot="1" x14ac:dyDescent="0.45">
      <c r="B144" s="525"/>
      <c r="C144" s="526"/>
      <c r="D144" s="372" t="s">
        <v>48</v>
      </c>
      <c r="E144" s="539" t="s">
        <v>399</v>
      </c>
      <c r="F144" s="540"/>
      <c r="G144" s="540"/>
      <c r="H144" s="540"/>
      <c r="I144" s="540"/>
      <c r="J144" s="540"/>
      <c r="K144" s="540"/>
      <c r="L144" s="540"/>
      <c r="M144" s="540"/>
      <c r="N144" s="540"/>
      <c r="O144" s="540"/>
      <c r="P144" s="540"/>
      <c r="Q144" s="540"/>
      <c r="R144" s="540"/>
      <c r="S144" s="540"/>
      <c r="T144" s="540"/>
      <c r="U144" s="541"/>
    </row>
    <row r="145" spans="2:21" ht="18" thickBot="1" x14ac:dyDescent="0.45">
      <c r="B145" s="525"/>
      <c r="C145" s="526"/>
      <c r="D145" s="367" t="s">
        <v>49</v>
      </c>
      <c r="E145" s="536" t="s">
        <v>414</v>
      </c>
      <c r="F145" s="537"/>
      <c r="G145" s="537"/>
      <c r="H145" s="537"/>
      <c r="I145" s="537"/>
      <c r="J145" s="537"/>
      <c r="K145" s="537"/>
      <c r="L145" s="537"/>
      <c r="M145" s="537"/>
      <c r="N145" s="537"/>
      <c r="O145" s="537"/>
      <c r="P145" s="537"/>
      <c r="Q145" s="537"/>
      <c r="R145" s="537"/>
      <c r="S145" s="537"/>
      <c r="T145" s="537"/>
      <c r="U145" s="538"/>
    </row>
    <row r="146" spans="2:21" ht="29.25" thickBot="1" x14ac:dyDescent="0.45">
      <c r="B146" s="525"/>
      <c r="C146" s="526"/>
      <c r="D146" s="372" t="s">
        <v>65</v>
      </c>
      <c r="E146" s="539" t="s">
        <v>415</v>
      </c>
      <c r="F146" s="540"/>
      <c r="G146" s="540"/>
      <c r="H146" s="540"/>
      <c r="I146" s="540"/>
      <c r="J146" s="540"/>
      <c r="K146" s="540"/>
      <c r="L146" s="540"/>
      <c r="M146" s="540"/>
      <c r="N146" s="540"/>
      <c r="O146" s="540"/>
      <c r="P146" s="540"/>
      <c r="Q146" s="540"/>
      <c r="R146" s="540"/>
      <c r="S146" s="540"/>
      <c r="T146" s="540"/>
      <c r="U146" s="541"/>
    </row>
    <row r="147" spans="2:21" ht="18" thickBot="1" x14ac:dyDescent="0.45">
      <c r="B147" s="527"/>
      <c r="C147" s="528"/>
      <c r="D147" s="367" t="s">
        <v>50</v>
      </c>
      <c r="E147" s="536" t="s">
        <v>416</v>
      </c>
      <c r="F147" s="537"/>
      <c r="G147" s="537"/>
      <c r="H147" s="537"/>
      <c r="I147" s="537"/>
      <c r="J147" s="537"/>
      <c r="K147" s="537"/>
      <c r="L147" s="537"/>
      <c r="M147" s="537"/>
      <c r="N147" s="537"/>
      <c r="O147" s="537"/>
      <c r="P147" s="537"/>
      <c r="Q147" s="537"/>
      <c r="R147" s="537"/>
      <c r="S147" s="537"/>
      <c r="T147" s="537"/>
      <c r="U147" s="538"/>
    </row>
    <row r="148" spans="2:21" ht="18" thickBot="1" x14ac:dyDescent="0.45">
      <c r="B148" s="523" t="s">
        <v>289</v>
      </c>
      <c r="C148" s="524"/>
      <c r="D148" s="372" t="s">
        <v>266</v>
      </c>
      <c r="E148" s="539" t="s">
        <v>417</v>
      </c>
      <c r="F148" s="540"/>
      <c r="G148" s="540"/>
      <c r="H148" s="540"/>
      <c r="I148" s="540"/>
      <c r="J148" s="540"/>
      <c r="K148" s="540"/>
      <c r="L148" s="540"/>
      <c r="M148" s="540"/>
      <c r="N148" s="540"/>
      <c r="O148" s="540"/>
      <c r="P148" s="540"/>
      <c r="Q148" s="540"/>
      <c r="R148" s="540"/>
      <c r="S148" s="540"/>
      <c r="T148" s="540"/>
      <c r="U148" s="541"/>
    </row>
    <row r="149" spans="2:21" ht="29.25" thickBot="1" x14ac:dyDescent="0.45">
      <c r="B149" s="525"/>
      <c r="C149" s="526"/>
      <c r="D149" s="367" t="s">
        <v>268</v>
      </c>
      <c r="E149" s="536" t="s">
        <v>417</v>
      </c>
      <c r="F149" s="537"/>
      <c r="G149" s="537"/>
      <c r="H149" s="537"/>
      <c r="I149" s="537"/>
      <c r="J149" s="537"/>
      <c r="K149" s="537"/>
      <c r="L149" s="537"/>
      <c r="M149" s="537"/>
      <c r="N149" s="537"/>
      <c r="O149" s="537"/>
      <c r="P149" s="537"/>
      <c r="Q149" s="537"/>
      <c r="R149" s="537"/>
      <c r="S149" s="537"/>
      <c r="T149" s="537"/>
      <c r="U149" s="538"/>
    </row>
    <row r="150" spans="2:21" ht="29.25" thickBot="1" x14ac:dyDescent="0.45">
      <c r="B150" s="525"/>
      <c r="C150" s="526"/>
      <c r="D150" s="372" t="s">
        <v>270</v>
      </c>
      <c r="E150" s="539" t="s">
        <v>417</v>
      </c>
      <c r="F150" s="540"/>
      <c r="G150" s="540"/>
      <c r="H150" s="540"/>
      <c r="I150" s="540"/>
      <c r="J150" s="540"/>
      <c r="K150" s="540"/>
      <c r="L150" s="540"/>
      <c r="M150" s="540"/>
      <c r="N150" s="540"/>
      <c r="O150" s="540"/>
      <c r="P150" s="540"/>
      <c r="Q150" s="540"/>
      <c r="R150" s="540"/>
      <c r="S150" s="540"/>
      <c r="T150" s="540"/>
      <c r="U150" s="541"/>
    </row>
    <row r="151" spans="2:21" ht="18" thickBot="1" x14ac:dyDescent="0.45">
      <c r="B151" s="525"/>
      <c r="C151" s="526"/>
      <c r="D151" s="367" t="s">
        <v>272</v>
      </c>
      <c r="E151" s="536" t="s">
        <v>417</v>
      </c>
      <c r="F151" s="537"/>
      <c r="G151" s="537"/>
      <c r="H151" s="537"/>
      <c r="I151" s="537"/>
      <c r="J151" s="537"/>
      <c r="K151" s="537"/>
      <c r="L151" s="537"/>
      <c r="M151" s="537"/>
      <c r="N151" s="537"/>
      <c r="O151" s="537"/>
      <c r="P151" s="537"/>
      <c r="Q151" s="537"/>
      <c r="R151" s="537"/>
      <c r="S151" s="537"/>
      <c r="T151" s="537"/>
      <c r="U151" s="538"/>
    </row>
    <row r="152" spans="2:21" ht="18" thickBot="1" x14ac:dyDescent="0.45">
      <c r="B152" s="525"/>
      <c r="C152" s="526"/>
      <c r="D152" s="372" t="s">
        <v>274</v>
      </c>
      <c r="E152" s="539" t="s">
        <v>417</v>
      </c>
      <c r="F152" s="540"/>
      <c r="G152" s="540"/>
      <c r="H152" s="540"/>
      <c r="I152" s="540"/>
      <c r="J152" s="540"/>
      <c r="K152" s="540"/>
      <c r="L152" s="540"/>
      <c r="M152" s="540"/>
      <c r="N152" s="540"/>
      <c r="O152" s="540"/>
      <c r="P152" s="540"/>
      <c r="Q152" s="540"/>
      <c r="R152" s="540"/>
      <c r="S152" s="540"/>
      <c r="T152" s="540"/>
      <c r="U152" s="541"/>
    </row>
    <row r="153" spans="2:21" ht="29.25" thickBot="1" x14ac:dyDescent="0.45">
      <c r="B153" s="527"/>
      <c r="C153" s="528"/>
      <c r="D153" s="367" t="s">
        <v>276</v>
      </c>
      <c r="E153" s="536" t="s">
        <v>417</v>
      </c>
      <c r="F153" s="537"/>
      <c r="G153" s="537"/>
      <c r="H153" s="537"/>
      <c r="I153" s="537"/>
      <c r="J153" s="537"/>
      <c r="K153" s="537"/>
      <c r="L153" s="537"/>
      <c r="M153" s="537"/>
      <c r="N153" s="537"/>
      <c r="O153" s="537"/>
      <c r="P153" s="537"/>
      <c r="Q153" s="537"/>
      <c r="R153" s="537"/>
      <c r="S153" s="537"/>
      <c r="T153" s="537"/>
      <c r="U153" s="538"/>
    </row>
    <row r="154" spans="2:21" ht="18" customHeight="1" x14ac:dyDescent="0.4">
      <c r="B154" s="523" t="s">
        <v>299</v>
      </c>
      <c r="C154" s="524"/>
      <c r="D154" s="521" t="s">
        <v>346</v>
      </c>
      <c r="E154" s="529" t="s">
        <v>419</v>
      </c>
      <c r="F154" s="529"/>
      <c r="G154" s="529"/>
      <c r="H154" s="529"/>
      <c r="I154" s="529"/>
      <c r="J154" s="529"/>
      <c r="K154" s="529"/>
      <c r="L154" s="529"/>
      <c r="M154" s="529"/>
      <c r="N154" s="529"/>
      <c r="O154" s="529"/>
      <c r="P154" s="529"/>
      <c r="Q154" s="529"/>
      <c r="R154" s="529"/>
      <c r="S154" s="529"/>
      <c r="T154" s="529"/>
      <c r="U154" s="530"/>
    </row>
    <row r="155" spans="2:21" ht="18" thickBot="1" x14ac:dyDescent="0.45">
      <c r="B155" s="525"/>
      <c r="C155" s="526"/>
      <c r="D155" s="522"/>
      <c r="E155" s="531" t="s">
        <v>418</v>
      </c>
      <c r="F155" s="531"/>
      <c r="G155" s="531"/>
      <c r="H155" s="531"/>
      <c r="I155" s="531"/>
      <c r="J155" s="531"/>
      <c r="K155" s="531"/>
      <c r="L155" s="531"/>
      <c r="M155" s="531"/>
      <c r="N155" s="531"/>
      <c r="O155" s="531"/>
      <c r="P155" s="531"/>
      <c r="Q155" s="531"/>
      <c r="R155" s="531"/>
      <c r="S155" s="531"/>
      <c r="T155" s="531"/>
      <c r="U155" s="532"/>
    </row>
    <row r="156" spans="2:21" x14ac:dyDescent="0.4">
      <c r="B156" s="525"/>
      <c r="C156" s="526"/>
      <c r="D156" s="521" t="s">
        <v>347</v>
      </c>
      <c r="E156" s="529" t="s">
        <v>419</v>
      </c>
      <c r="F156" s="529"/>
      <c r="G156" s="529"/>
      <c r="H156" s="529"/>
      <c r="I156" s="529"/>
      <c r="J156" s="529"/>
      <c r="K156" s="529"/>
      <c r="L156" s="529"/>
      <c r="M156" s="529"/>
      <c r="N156" s="529"/>
      <c r="O156" s="529"/>
      <c r="P156" s="529"/>
      <c r="Q156" s="529"/>
      <c r="R156" s="529"/>
      <c r="S156" s="529"/>
      <c r="T156" s="529"/>
      <c r="U156" s="530"/>
    </row>
    <row r="157" spans="2:21" ht="18" thickBot="1" x14ac:dyDescent="0.45">
      <c r="B157" s="525"/>
      <c r="C157" s="526"/>
      <c r="D157" s="522"/>
      <c r="E157" s="531" t="s">
        <v>418</v>
      </c>
      <c r="F157" s="531"/>
      <c r="G157" s="531"/>
      <c r="H157" s="531"/>
      <c r="I157" s="531"/>
      <c r="J157" s="531"/>
      <c r="K157" s="531"/>
      <c r="L157" s="531"/>
      <c r="M157" s="531"/>
      <c r="N157" s="531"/>
      <c r="O157" s="531"/>
      <c r="P157" s="531"/>
      <c r="Q157" s="531"/>
      <c r="R157" s="531"/>
      <c r="S157" s="531"/>
      <c r="T157" s="531"/>
      <c r="U157" s="532"/>
    </row>
    <row r="158" spans="2:21" x14ac:dyDescent="0.4">
      <c r="B158" s="525"/>
      <c r="C158" s="526"/>
      <c r="D158" s="521" t="s">
        <v>348</v>
      </c>
      <c r="E158" s="529" t="s">
        <v>419</v>
      </c>
      <c r="F158" s="529"/>
      <c r="G158" s="529"/>
      <c r="H158" s="529"/>
      <c r="I158" s="529"/>
      <c r="J158" s="529"/>
      <c r="K158" s="529"/>
      <c r="L158" s="529"/>
      <c r="M158" s="529"/>
      <c r="N158" s="529"/>
      <c r="O158" s="529"/>
      <c r="P158" s="529"/>
      <c r="Q158" s="529"/>
      <c r="R158" s="529"/>
      <c r="S158" s="529"/>
      <c r="T158" s="529"/>
      <c r="U158" s="530"/>
    </row>
    <row r="159" spans="2:21" ht="18" thickBot="1" x14ac:dyDescent="0.45">
      <c r="B159" s="525"/>
      <c r="C159" s="526"/>
      <c r="D159" s="522"/>
      <c r="E159" s="531" t="s">
        <v>418</v>
      </c>
      <c r="F159" s="531"/>
      <c r="G159" s="531"/>
      <c r="H159" s="531"/>
      <c r="I159" s="531"/>
      <c r="J159" s="531"/>
      <c r="K159" s="531"/>
      <c r="L159" s="531"/>
      <c r="M159" s="531"/>
      <c r="N159" s="531"/>
      <c r="O159" s="531"/>
      <c r="P159" s="531"/>
      <c r="Q159" s="531"/>
      <c r="R159" s="531"/>
      <c r="S159" s="531"/>
      <c r="T159" s="531"/>
      <c r="U159" s="532"/>
    </row>
    <row r="160" spans="2:21" x14ac:dyDescent="0.4">
      <c r="B160" s="525"/>
      <c r="C160" s="526"/>
      <c r="D160" s="521" t="s">
        <v>349</v>
      </c>
      <c r="E160" s="529" t="s">
        <v>419</v>
      </c>
      <c r="F160" s="529"/>
      <c r="G160" s="529"/>
      <c r="H160" s="529"/>
      <c r="I160" s="529"/>
      <c r="J160" s="529"/>
      <c r="K160" s="529"/>
      <c r="L160" s="529"/>
      <c r="M160" s="529"/>
      <c r="N160" s="529"/>
      <c r="O160" s="529"/>
      <c r="P160" s="529"/>
      <c r="Q160" s="529"/>
      <c r="R160" s="529"/>
      <c r="S160" s="529"/>
      <c r="T160" s="529"/>
      <c r="U160" s="530"/>
    </row>
    <row r="161" spans="2:21" ht="18" thickBot="1" x14ac:dyDescent="0.45">
      <c r="B161" s="525"/>
      <c r="C161" s="526"/>
      <c r="D161" s="522"/>
      <c r="E161" s="531" t="s">
        <v>418</v>
      </c>
      <c r="F161" s="531"/>
      <c r="G161" s="531"/>
      <c r="H161" s="531"/>
      <c r="I161" s="531"/>
      <c r="J161" s="531"/>
      <c r="K161" s="531"/>
      <c r="L161" s="531"/>
      <c r="M161" s="531"/>
      <c r="N161" s="531"/>
      <c r="O161" s="531"/>
      <c r="P161" s="531"/>
      <c r="Q161" s="531"/>
      <c r="R161" s="531"/>
      <c r="S161" s="531"/>
      <c r="T161" s="531"/>
      <c r="U161" s="532"/>
    </row>
    <row r="162" spans="2:21" x14ac:dyDescent="0.4">
      <c r="B162" s="525"/>
      <c r="C162" s="526"/>
      <c r="D162" s="521" t="s">
        <v>350</v>
      </c>
      <c r="E162" s="529" t="s">
        <v>419</v>
      </c>
      <c r="F162" s="529"/>
      <c r="G162" s="529"/>
      <c r="H162" s="529"/>
      <c r="I162" s="529"/>
      <c r="J162" s="529"/>
      <c r="K162" s="529"/>
      <c r="L162" s="529"/>
      <c r="M162" s="529"/>
      <c r="N162" s="529"/>
      <c r="O162" s="529"/>
      <c r="P162" s="529"/>
      <c r="Q162" s="529"/>
      <c r="R162" s="529"/>
      <c r="S162" s="529"/>
      <c r="T162" s="529"/>
      <c r="U162" s="530"/>
    </row>
    <row r="163" spans="2:21" ht="18" thickBot="1" x14ac:dyDescent="0.45">
      <c r="B163" s="525"/>
      <c r="C163" s="526"/>
      <c r="D163" s="522"/>
      <c r="E163" s="531" t="s">
        <v>418</v>
      </c>
      <c r="F163" s="531"/>
      <c r="G163" s="531"/>
      <c r="H163" s="531"/>
      <c r="I163" s="531"/>
      <c r="J163" s="531"/>
      <c r="K163" s="531"/>
      <c r="L163" s="531"/>
      <c r="M163" s="531"/>
      <c r="N163" s="531"/>
      <c r="O163" s="531"/>
      <c r="P163" s="531"/>
      <c r="Q163" s="531"/>
      <c r="R163" s="531"/>
      <c r="S163" s="531"/>
      <c r="T163" s="531"/>
      <c r="U163" s="532"/>
    </row>
    <row r="164" spans="2:21" x14ac:dyDescent="0.4">
      <c r="B164" s="525"/>
      <c r="C164" s="526"/>
      <c r="D164" s="521" t="s">
        <v>351</v>
      </c>
      <c r="E164" s="529" t="s">
        <v>419</v>
      </c>
      <c r="F164" s="529"/>
      <c r="G164" s="529"/>
      <c r="H164" s="529"/>
      <c r="I164" s="529"/>
      <c r="J164" s="529"/>
      <c r="K164" s="529"/>
      <c r="L164" s="529"/>
      <c r="M164" s="529"/>
      <c r="N164" s="529"/>
      <c r="O164" s="529"/>
      <c r="P164" s="529"/>
      <c r="Q164" s="529"/>
      <c r="R164" s="529"/>
      <c r="S164" s="529"/>
      <c r="T164" s="529"/>
      <c r="U164" s="530"/>
    </row>
    <row r="165" spans="2:21" ht="18" thickBot="1" x14ac:dyDescent="0.45">
      <c r="B165" s="525"/>
      <c r="C165" s="526"/>
      <c r="D165" s="522"/>
      <c r="E165" s="531" t="s">
        <v>418</v>
      </c>
      <c r="F165" s="531"/>
      <c r="G165" s="531"/>
      <c r="H165" s="531"/>
      <c r="I165" s="531"/>
      <c r="J165" s="531"/>
      <c r="K165" s="531"/>
      <c r="L165" s="531"/>
      <c r="M165" s="531"/>
      <c r="N165" s="531"/>
      <c r="O165" s="531"/>
      <c r="P165" s="531"/>
      <c r="Q165" s="531"/>
      <c r="R165" s="531"/>
      <c r="S165" s="531"/>
      <c r="T165" s="531"/>
      <c r="U165" s="532"/>
    </row>
    <row r="166" spans="2:21" x14ac:dyDescent="0.4">
      <c r="B166" s="525"/>
      <c r="C166" s="526"/>
      <c r="D166" s="521" t="s">
        <v>352</v>
      </c>
      <c r="E166" s="529" t="s">
        <v>419</v>
      </c>
      <c r="F166" s="529"/>
      <c r="G166" s="529"/>
      <c r="H166" s="529"/>
      <c r="I166" s="529"/>
      <c r="J166" s="529"/>
      <c r="K166" s="529"/>
      <c r="L166" s="529"/>
      <c r="M166" s="529"/>
      <c r="N166" s="529"/>
      <c r="O166" s="529"/>
      <c r="P166" s="529"/>
      <c r="Q166" s="529"/>
      <c r="R166" s="529"/>
      <c r="S166" s="529"/>
      <c r="T166" s="529"/>
      <c r="U166" s="530"/>
    </row>
    <row r="167" spans="2:21" ht="18" thickBot="1" x14ac:dyDescent="0.45">
      <c r="B167" s="525"/>
      <c r="C167" s="526"/>
      <c r="D167" s="522"/>
      <c r="E167" s="531" t="s">
        <v>418</v>
      </c>
      <c r="F167" s="531"/>
      <c r="G167" s="531"/>
      <c r="H167" s="531"/>
      <c r="I167" s="531"/>
      <c r="J167" s="531"/>
      <c r="K167" s="531"/>
      <c r="L167" s="531"/>
      <c r="M167" s="531"/>
      <c r="N167" s="531"/>
      <c r="O167" s="531"/>
      <c r="P167" s="531"/>
      <c r="Q167" s="531"/>
      <c r="R167" s="531"/>
      <c r="S167" s="531"/>
      <c r="T167" s="531"/>
      <c r="U167" s="532"/>
    </row>
    <row r="168" spans="2:21" x14ac:dyDescent="0.4">
      <c r="B168" s="525"/>
      <c r="C168" s="526"/>
      <c r="D168" s="521" t="s">
        <v>353</v>
      </c>
      <c r="E168" s="529" t="s">
        <v>419</v>
      </c>
      <c r="F168" s="529"/>
      <c r="G168" s="529"/>
      <c r="H168" s="529"/>
      <c r="I168" s="529"/>
      <c r="J168" s="529"/>
      <c r="K168" s="529"/>
      <c r="L168" s="529"/>
      <c r="M168" s="529"/>
      <c r="N168" s="529"/>
      <c r="O168" s="529"/>
      <c r="P168" s="529"/>
      <c r="Q168" s="529"/>
      <c r="R168" s="529"/>
      <c r="S168" s="529"/>
      <c r="T168" s="529"/>
      <c r="U168" s="530"/>
    </row>
    <row r="169" spans="2:21" ht="18" thickBot="1" x14ac:dyDescent="0.45">
      <c r="B169" s="525"/>
      <c r="C169" s="526"/>
      <c r="D169" s="522"/>
      <c r="E169" s="531" t="s">
        <v>418</v>
      </c>
      <c r="F169" s="531"/>
      <c r="G169" s="531"/>
      <c r="H169" s="531"/>
      <c r="I169" s="531"/>
      <c r="J169" s="531"/>
      <c r="K169" s="531"/>
      <c r="L169" s="531"/>
      <c r="M169" s="531"/>
      <c r="N169" s="531"/>
      <c r="O169" s="531"/>
      <c r="P169" s="531"/>
      <c r="Q169" s="531"/>
      <c r="R169" s="531"/>
      <c r="S169" s="531"/>
      <c r="T169" s="531"/>
      <c r="U169" s="532"/>
    </row>
    <row r="170" spans="2:21" x14ac:dyDescent="0.4">
      <c r="B170" s="525"/>
      <c r="C170" s="526"/>
      <c r="D170" s="521" t="s">
        <v>354</v>
      </c>
      <c r="E170" s="529" t="s">
        <v>419</v>
      </c>
      <c r="F170" s="529"/>
      <c r="G170" s="529"/>
      <c r="H170" s="529"/>
      <c r="I170" s="529"/>
      <c r="J170" s="529"/>
      <c r="K170" s="529"/>
      <c r="L170" s="529"/>
      <c r="M170" s="529"/>
      <c r="N170" s="529"/>
      <c r="O170" s="529"/>
      <c r="P170" s="529"/>
      <c r="Q170" s="529"/>
      <c r="R170" s="529"/>
      <c r="S170" s="529"/>
      <c r="T170" s="529"/>
      <c r="U170" s="530"/>
    </row>
    <row r="171" spans="2:21" ht="18" thickBot="1" x14ac:dyDescent="0.45">
      <c r="B171" s="525"/>
      <c r="C171" s="526"/>
      <c r="D171" s="522"/>
      <c r="E171" s="531" t="s">
        <v>418</v>
      </c>
      <c r="F171" s="531"/>
      <c r="G171" s="531"/>
      <c r="H171" s="531"/>
      <c r="I171" s="531"/>
      <c r="J171" s="531"/>
      <c r="K171" s="531"/>
      <c r="L171" s="531"/>
      <c r="M171" s="531"/>
      <c r="N171" s="531"/>
      <c r="O171" s="531"/>
      <c r="P171" s="531"/>
      <c r="Q171" s="531"/>
      <c r="R171" s="531"/>
      <c r="S171" s="531"/>
      <c r="T171" s="531"/>
      <c r="U171" s="532"/>
    </row>
    <row r="172" spans="2:21" x14ac:dyDescent="0.4">
      <c r="B172" s="525"/>
      <c r="C172" s="526"/>
      <c r="D172" s="521" t="s">
        <v>355</v>
      </c>
      <c r="E172" s="529" t="s">
        <v>419</v>
      </c>
      <c r="F172" s="529"/>
      <c r="G172" s="529"/>
      <c r="H172" s="529"/>
      <c r="I172" s="529"/>
      <c r="J172" s="529"/>
      <c r="K172" s="529"/>
      <c r="L172" s="529"/>
      <c r="M172" s="529"/>
      <c r="N172" s="529"/>
      <c r="O172" s="529"/>
      <c r="P172" s="529"/>
      <c r="Q172" s="529"/>
      <c r="R172" s="529"/>
      <c r="S172" s="529"/>
      <c r="T172" s="529"/>
      <c r="U172" s="530"/>
    </row>
    <row r="173" spans="2:21" ht="18" thickBot="1" x14ac:dyDescent="0.45">
      <c r="B173" s="527"/>
      <c r="C173" s="528"/>
      <c r="D173" s="522"/>
      <c r="E173" s="531" t="s">
        <v>418</v>
      </c>
      <c r="F173" s="531"/>
      <c r="G173" s="531"/>
      <c r="H173" s="531"/>
      <c r="I173" s="531"/>
      <c r="J173" s="531"/>
      <c r="K173" s="531"/>
      <c r="L173" s="531"/>
      <c r="M173" s="531"/>
      <c r="N173" s="531"/>
      <c r="O173" s="531"/>
      <c r="P173" s="531"/>
      <c r="Q173" s="531"/>
      <c r="R173" s="531"/>
      <c r="S173" s="531"/>
      <c r="T173" s="531"/>
      <c r="U173" s="532"/>
    </row>
  </sheetData>
  <sheetProtection algorithmName="SHA-512" hashValue="aircuiOJ86/Sv8W4CrXUPkbk2q+HVzSEFRWAIt6/iXhc7vdlI8qlqSr4peOrluaY7aSx8jGoV4roq6+E9a1lbQ==" saltValue="CsvNdblRKykKi0lUEwl34w=="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72"/>
  <sheetViews>
    <sheetView rightToLeft="1" view="pageBreakPreview" zoomScale="70" zoomScaleNormal="90" zoomScaleSheetLayoutView="70" workbookViewId="0">
      <pane xSplit="8" ySplit="12" topLeftCell="Q29" activePane="bottomRight" state="frozen"/>
      <selection pane="topRight" activeCell="I1" sqref="I1"/>
      <selection pane="bottomLeft" activeCell="A13" sqref="A13"/>
      <selection pane="bottomRight" activeCell="F4" sqref="F4:X4"/>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3" customWidth="1"/>
    <col min="5" max="5" width="14.85546875" style="54" customWidth="1"/>
    <col min="6" max="6" width="13.5703125" style="5" customWidth="1"/>
    <col min="7" max="34" width="13.5703125" style="6" customWidth="1"/>
    <col min="35" max="35" width="13.5703125" style="54" customWidth="1"/>
    <col min="36" max="36" width="13.5703125" style="5" customWidth="1"/>
    <col min="37" max="44" width="13.5703125" style="6" customWidth="1"/>
    <col min="45" max="16384" width="9" style="7"/>
  </cols>
  <sheetData>
    <row r="1" spans="1:44" ht="18" customHeight="1" thickBot="1" x14ac:dyDescent="0.3">
      <c r="D1" s="3"/>
      <c r="E1" s="4"/>
      <c r="AI1" s="4"/>
    </row>
    <row r="2" spans="1:44" ht="18.75" customHeight="1" x14ac:dyDescent="0.25">
      <c r="B2" s="563" t="s">
        <v>14</v>
      </c>
      <c r="C2" s="569"/>
      <c r="D2" s="8" t="s">
        <v>56</v>
      </c>
      <c r="E2" s="10" t="s">
        <v>569</v>
      </c>
      <c r="F2" s="9" t="s">
        <v>569</v>
      </c>
      <c r="G2" s="10" t="s">
        <v>569</v>
      </c>
      <c r="H2" s="9" t="s">
        <v>569</v>
      </c>
      <c r="I2" s="10" t="s">
        <v>569</v>
      </c>
      <c r="J2" s="9" t="s">
        <v>569</v>
      </c>
      <c r="K2" s="10" t="s">
        <v>569</v>
      </c>
      <c r="L2" s="9" t="s">
        <v>569</v>
      </c>
      <c r="M2" s="10" t="s">
        <v>569</v>
      </c>
      <c r="N2" s="9" t="s">
        <v>569</v>
      </c>
      <c r="O2" s="10" t="s">
        <v>569</v>
      </c>
      <c r="P2" s="9" t="s">
        <v>569</v>
      </c>
      <c r="Q2" s="10" t="s">
        <v>569</v>
      </c>
      <c r="R2" s="9" t="s">
        <v>569</v>
      </c>
      <c r="S2" s="10" t="s">
        <v>569</v>
      </c>
      <c r="T2" s="9" t="s">
        <v>569</v>
      </c>
      <c r="U2" s="10" t="s">
        <v>569</v>
      </c>
      <c r="V2" s="9" t="s">
        <v>569</v>
      </c>
      <c r="W2" s="10" t="s">
        <v>569</v>
      </c>
      <c r="X2" s="9" t="s">
        <v>569</v>
      </c>
      <c r="Y2" s="10"/>
      <c r="Z2" s="9"/>
      <c r="AA2" s="10"/>
      <c r="AB2" s="9"/>
      <c r="AC2" s="10"/>
      <c r="AD2" s="9"/>
      <c r="AE2" s="10"/>
      <c r="AF2" s="9"/>
      <c r="AG2" s="10"/>
      <c r="AH2" s="9"/>
      <c r="AI2" s="10"/>
      <c r="AJ2" s="9"/>
      <c r="AK2" s="10"/>
      <c r="AL2" s="9"/>
      <c r="AM2" s="10"/>
      <c r="AN2" s="9"/>
      <c r="AO2" s="10"/>
      <c r="AP2" s="9"/>
      <c r="AQ2" s="10"/>
      <c r="AR2" s="9"/>
    </row>
    <row r="3" spans="1:44" ht="18.75" customHeight="1" x14ac:dyDescent="0.25">
      <c r="B3" s="565"/>
      <c r="C3" s="570"/>
      <c r="D3" s="11" t="s">
        <v>59</v>
      </c>
      <c r="E3" s="489" t="s">
        <v>436</v>
      </c>
      <c r="F3" s="490" t="s">
        <v>436</v>
      </c>
      <c r="G3" s="491" t="s">
        <v>436</v>
      </c>
      <c r="H3" s="490" t="s">
        <v>436</v>
      </c>
      <c r="I3" s="492" t="s">
        <v>436</v>
      </c>
      <c r="J3" s="493" t="s">
        <v>436</v>
      </c>
      <c r="K3" s="491" t="s">
        <v>437</v>
      </c>
      <c r="L3" s="490" t="s">
        <v>437</v>
      </c>
      <c r="M3" s="492" t="s">
        <v>436</v>
      </c>
      <c r="N3" s="493" t="s">
        <v>436</v>
      </c>
      <c r="O3" s="492" t="s">
        <v>436</v>
      </c>
      <c r="P3" s="493" t="s">
        <v>436</v>
      </c>
      <c r="Q3" s="492" t="s">
        <v>436</v>
      </c>
      <c r="R3" s="492" t="s">
        <v>436</v>
      </c>
      <c r="S3" s="493" t="s">
        <v>436</v>
      </c>
      <c r="T3" s="492" t="s">
        <v>570</v>
      </c>
      <c r="U3" s="13" t="s">
        <v>570</v>
      </c>
      <c r="V3" s="12" t="s">
        <v>436</v>
      </c>
      <c r="W3" s="13" t="s">
        <v>436</v>
      </c>
      <c r="X3" s="12" t="s">
        <v>437</v>
      </c>
      <c r="Y3" s="13"/>
      <c r="Z3" s="12"/>
      <c r="AA3" s="13"/>
      <c r="AB3" s="12"/>
      <c r="AC3" s="13"/>
      <c r="AD3" s="12"/>
      <c r="AE3" s="13"/>
      <c r="AF3" s="12"/>
      <c r="AG3" s="13"/>
      <c r="AH3" s="12"/>
      <c r="AI3" s="13"/>
      <c r="AJ3" s="12"/>
      <c r="AK3" s="13"/>
      <c r="AL3" s="12"/>
      <c r="AM3" s="13"/>
      <c r="AN3" s="12"/>
      <c r="AO3" s="13"/>
      <c r="AP3" s="12"/>
      <c r="AQ3" s="13"/>
      <c r="AR3" s="12"/>
    </row>
    <row r="4" spans="1:44" ht="18.75" customHeight="1" x14ac:dyDescent="0.25">
      <c r="B4" s="565"/>
      <c r="C4" s="570"/>
      <c r="D4" s="11" t="s">
        <v>60</v>
      </c>
      <c r="E4" s="489" t="s">
        <v>438</v>
      </c>
      <c r="F4" s="490" t="s">
        <v>438</v>
      </c>
      <c r="G4" s="491" t="s">
        <v>438</v>
      </c>
      <c r="H4" s="490" t="s">
        <v>438</v>
      </c>
      <c r="I4" s="492" t="s">
        <v>438</v>
      </c>
      <c r="J4" s="493" t="s">
        <v>438</v>
      </c>
      <c r="K4" s="491" t="s">
        <v>438</v>
      </c>
      <c r="L4" s="490" t="s">
        <v>438</v>
      </c>
      <c r="M4" s="492" t="s">
        <v>438</v>
      </c>
      <c r="N4" s="492" t="s">
        <v>438</v>
      </c>
      <c r="O4" s="494" t="s">
        <v>438</v>
      </c>
      <c r="P4" s="493" t="s">
        <v>438</v>
      </c>
      <c r="Q4" s="492" t="s">
        <v>438</v>
      </c>
      <c r="R4" s="492" t="s">
        <v>438</v>
      </c>
      <c r="S4" s="493" t="s">
        <v>438</v>
      </c>
      <c r="T4" s="492" t="s">
        <v>438</v>
      </c>
      <c r="U4" s="13" t="s">
        <v>438</v>
      </c>
      <c r="V4" s="12" t="s">
        <v>438</v>
      </c>
      <c r="W4" s="13" t="s">
        <v>438</v>
      </c>
      <c r="X4" s="12" t="s">
        <v>438</v>
      </c>
      <c r="Y4" s="13"/>
      <c r="Z4" s="12"/>
      <c r="AA4" s="13"/>
      <c r="AB4" s="12"/>
      <c r="AC4" s="13"/>
      <c r="AD4" s="12"/>
      <c r="AE4" s="13"/>
      <c r="AF4" s="12"/>
      <c r="AG4" s="13"/>
      <c r="AH4" s="334"/>
      <c r="AI4" s="13"/>
      <c r="AJ4" s="12"/>
      <c r="AK4" s="13"/>
      <c r="AL4" s="12"/>
      <c r="AM4" s="13"/>
      <c r="AN4" s="12"/>
      <c r="AO4" s="13"/>
      <c r="AP4" s="12"/>
      <c r="AQ4" s="13"/>
      <c r="AR4" s="12"/>
    </row>
    <row r="5" spans="1:44" ht="18.75" customHeight="1" x14ac:dyDescent="0.25">
      <c r="B5" s="565"/>
      <c r="C5" s="570"/>
      <c r="D5" s="11" t="s">
        <v>33</v>
      </c>
      <c r="E5" s="489" t="s">
        <v>440</v>
      </c>
      <c r="F5" s="490" t="s">
        <v>440</v>
      </c>
      <c r="G5" s="491" t="s">
        <v>440</v>
      </c>
      <c r="H5" s="490" t="s">
        <v>441</v>
      </c>
      <c r="I5" s="492" t="s">
        <v>444</v>
      </c>
      <c r="J5" s="493" t="s">
        <v>442</v>
      </c>
      <c r="K5" s="491" t="s">
        <v>443</v>
      </c>
      <c r="L5" s="490" t="s">
        <v>444</v>
      </c>
      <c r="M5" s="492" t="s">
        <v>442</v>
      </c>
      <c r="N5" s="492" t="s">
        <v>440</v>
      </c>
      <c r="O5" s="494" t="s">
        <v>441</v>
      </c>
      <c r="P5" s="493" t="s">
        <v>444</v>
      </c>
      <c r="Q5" s="492" t="s">
        <v>440</v>
      </c>
      <c r="R5" s="492" t="s">
        <v>440</v>
      </c>
      <c r="S5" s="493" t="s">
        <v>444</v>
      </c>
      <c r="T5" s="12" t="s">
        <v>440</v>
      </c>
      <c r="U5" s="13" t="s">
        <v>583</v>
      </c>
      <c r="V5" s="12" t="s">
        <v>583</v>
      </c>
      <c r="W5" s="13" t="s">
        <v>583</v>
      </c>
      <c r="X5" s="12" t="s">
        <v>583</v>
      </c>
      <c r="Y5" s="13"/>
      <c r="Z5" s="12"/>
      <c r="AA5" s="13"/>
      <c r="AB5" s="12"/>
      <c r="AC5" s="13"/>
      <c r="AD5" s="12"/>
      <c r="AE5" s="13"/>
      <c r="AF5" s="12"/>
      <c r="AG5" s="13"/>
      <c r="AH5" s="334"/>
      <c r="AI5" s="13"/>
      <c r="AJ5" s="12"/>
      <c r="AK5" s="13"/>
      <c r="AL5" s="12"/>
      <c r="AM5" s="13"/>
      <c r="AN5" s="12"/>
      <c r="AO5" s="13"/>
      <c r="AP5" s="12"/>
      <c r="AQ5" s="13"/>
      <c r="AR5" s="12"/>
    </row>
    <row r="6" spans="1:44" ht="18" customHeight="1" x14ac:dyDescent="0.25">
      <c r="B6" s="565"/>
      <c r="C6" s="570"/>
      <c r="D6" s="17" t="s">
        <v>9</v>
      </c>
      <c r="E6" s="495" t="s">
        <v>445</v>
      </c>
      <c r="F6" s="496" t="s">
        <v>446</v>
      </c>
      <c r="G6" s="497" t="s">
        <v>447</v>
      </c>
      <c r="H6" s="496" t="s">
        <v>448</v>
      </c>
      <c r="I6" s="498" t="s">
        <v>449</v>
      </c>
      <c r="J6" s="499" t="s">
        <v>450</v>
      </c>
      <c r="K6" s="497" t="s">
        <v>451</v>
      </c>
      <c r="L6" s="496" t="s">
        <v>452</v>
      </c>
      <c r="M6" s="498" t="s">
        <v>453</v>
      </c>
      <c r="N6" s="499" t="s">
        <v>454</v>
      </c>
      <c r="O6" s="498" t="s">
        <v>455</v>
      </c>
      <c r="P6" s="499" t="s">
        <v>456</v>
      </c>
      <c r="Q6" s="498" t="s">
        <v>457</v>
      </c>
      <c r="R6" s="498" t="s">
        <v>458</v>
      </c>
      <c r="S6" s="499" t="s">
        <v>459</v>
      </c>
      <c r="T6" s="18" t="s">
        <v>571</v>
      </c>
      <c r="U6" s="19" t="s">
        <v>584</v>
      </c>
      <c r="V6" s="18" t="s">
        <v>590</v>
      </c>
      <c r="W6" s="19" t="s">
        <v>597</v>
      </c>
      <c r="X6" s="18" t="s">
        <v>602</v>
      </c>
      <c r="Y6" s="19"/>
      <c r="Z6" s="18"/>
      <c r="AA6" s="19"/>
      <c r="AB6" s="18"/>
      <c r="AC6" s="19"/>
      <c r="AD6" s="18"/>
      <c r="AE6" s="19"/>
      <c r="AF6" s="18"/>
      <c r="AG6" s="19"/>
      <c r="AH6" s="18"/>
      <c r="AI6" s="19"/>
      <c r="AJ6" s="18"/>
      <c r="AK6" s="19"/>
      <c r="AL6" s="18"/>
      <c r="AM6" s="19"/>
      <c r="AN6" s="18"/>
      <c r="AO6" s="19"/>
      <c r="AP6" s="18"/>
      <c r="AQ6" s="19"/>
      <c r="AR6" s="18"/>
    </row>
    <row r="7" spans="1:44" ht="21" customHeight="1" x14ac:dyDescent="0.25">
      <c r="A7" s="7">
        <v>0</v>
      </c>
      <c r="B7" s="565"/>
      <c r="C7" s="570"/>
      <c r="D7" s="17" t="s">
        <v>22</v>
      </c>
      <c r="E7" s="489">
        <v>1</v>
      </c>
      <c r="F7" s="489">
        <f>E7+1</f>
        <v>2</v>
      </c>
      <c r="G7" s="489">
        <f t="shared" ref="G7" si="0">F7+1</f>
        <v>3</v>
      </c>
      <c r="H7" s="489">
        <f t="shared" ref="H7" si="1">G7+1</f>
        <v>4</v>
      </c>
      <c r="I7" s="489">
        <f t="shared" ref="I7" si="2">H7+1</f>
        <v>5</v>
      </c>
      <c r="J7" s="489">
        <f t="shared" ref="J7" si="3">I7+1</f>
        <v>6</v>
      </c>
      <c r="K7" s="489">
        <f t="shared" ref="K7" si="4">J7+1</f>
        <v>7</v>
      </c>
      <c r="L7" s="489">
        <f t="shared" ref="L7" si="5">K7+1</f>
        <v>8</v>
      </c>
      <c r="M7" s="489">
        <f t="shared" ref="M7" si="6">L7+1</f>
        <v>9</v>
      </c>
      <c r="N7" s="489">
        <f t="shared" ref="N7" si="7">M7+1</f>
        <v>10</v>
      </c>
      <c r="O7" s="489">
        <f t="shared" ref="O7" si="8">N7+1</f>
        <v>11</v>
      </c>
      <c r="P7" s="489">
        <f t="shared" ref="P7" si="9">O7+1</f>
        <v>12</v>
      </c>
      <c r="Q7" s="489">
        <f t="shared" ref="Q7" si="10">P7+1</f>
        <v>13</v>
      </c>
      <c r="R7" s="489">
        <f t="shared" ref="R7" si="11">Q7+1</f>
        <v>14</v>
      </c>
      <c r="S7" s="489">
        <f t="shared" ref="S7" si="12">R7+1</f>
        <v>15</v>
      </c>
      <c r="T7" s="489">
        <f t="shared" ref="T7" si="13">S7+1</f>
        <v>16</v>
      </c>
      <c r="U7" s="489">
        <f t="shared" ref="U7" si="14">T7+1</f>
        <v>17</v>
      </c>
      <c r="V7" s="489">
        <f t="shared" ref="V7" si="15">U7+1</f>
        <v>18</v>
      </c>
      <c r="W7" s="489">
        <f t="shared" ref="W7" si="16">V7+1</f>
        <v>19</v>
      </c>
      <c r="X7" s="489">
        <f t="shared" ref="X7" si="17">W7+1</f>
        <v>20</v>
      </c>
      <c r="Y7" s="489">
        <f t="shared" ref="Y7" si="18">X7+1</f>
        <v>21</v>
      </c>
      <c r="Z7" s="489">
        <f t="shared" ref="Z7" si="19">Y7+1</f>
        <v>22</v>
      </c>
      <c r="AA7" s="489">
        <f t="shared" ref="AA7" si="20">Z7+1</f>
        <v>23</v>
      </c>
      <c r="AB7" s="489">
        <f t="shared" ref="AB7" si="21">AA7+1</f>
        <v>24</v>
      </c>
      <c r="AC7" s="489">
        <f t="shared" ref="AC7" si="22">AB7+1</f>
        <v>25</v>
      </c>
      <c r="AD7" s="489">
        <f t="shared" ref="AD7" si="23">AC7+1</f>
        <v>26</v>
      </c>
      <c r="AE7" s="489">
        <f t="shared" ref="AE7" si="24">AD7+1</f>
        <v>27</v>
      </c>
      <c r="AF7" s="489">
        <f t="shared" ref="AF7" si="25">AE7+1</f>
        <v>28</v>
      </c>
      <c r="AG7" s="489">
        <f t="shared" ref="AG7" si="26">AF7+1</f>
        <v>29</v>
      </c>
      <c r="AH7" s="489">
        <f t="shared" ref="AH7" si="27">AG7+1</f>
        <v>30</v>
      </c>
      <c r="AI7" s="489">
        <f t="shared" ref="AI7" si="28">AH7+1</f>
        <v>31</v>
      </c>
      <c r="AJ7" s="489">
        <f t="shared" ref="AJ7" si="29">AI7+1</f>
        <v>32</v>
      </c>
      <c r="AK7" s="489">
        <f t="shared" ref="AK7" si="30">AJ7+1</f>
        <v>33</v>
      </c>
      <c r="AL7" s="489">
        <f t="shared" ref="AL7" si="31">AK7+1</f>
        <v>34</v>
      </c>
      <c r="AM7" s="489">
        <f t="shared" ref="AM7" si="32">AL7+1</f>
        <v>35</v>
      </c>
      <c r="AN7" s="279">
        <f t="shared" ref="AN7" si="33">AM7+1</f>
        <v>36</v>
      </c>
      <c r="AO7" s="233">
        <f t="shared" ref="AO7" si="34">AN7+1</f>
        <v>37</v>
      </c>
      <c r="AP7" s="279">
        <f t="shared" ref="AP7" si="35">AO7+1</f>
        <v>38</v>
      </c>
      <c r="AQ7" s="233">
        <f t="shared" ref="AQ7" si="36">AP7+1</f>
        <v>39</v>
      </c>
      <c r="AR7" s="279">
        <f t="shared" ref="AR7" si="37">AQ7+1</f>
        <v>40</v>
      </c>
    </row>
    <row r="8" spans="1:44" ht="21" customHeight="1" thickBot="1" x14ac:dyDescent="0.3">
      <c r="B8" s="565"/>
      <c r="C8" s="570"/>
      <c r="D8" s="232" t="s">
        <v>290</v>
      </c>
      <c r="E8" s="489" t="s">
        <v>460</v>
      </c>
      <c r="F8" s="489" t="s">
        <v>460</v>
      </c>
      <c r="G8" s="489" t="s">
        <v>460</v>
      </c>
      <c r="H8" s="489" t="s">
        <v>460</v>
      </c>
      <c r="I8" s="489" t="s">
        <v>460</v>
      </c>
      <c r="J8" s="489" t="s">
        <v>460</v>
      </c>
      <c r="K8" s="489" t="s">
        <v>460</v>
      </c>
      <c r="L8" s="489" t="s">
        <v>460</v>
      </c>
      <c r="M8" s="489" t="s">
        <v>460</v>
      </c>
      <c r="N8" s="489" t="s">
        <v>460</v>
      </c>
      <c r="O8" s="489" t="s">
        <v>460</v>
      </c>
      <c r="P8" s="489" t="s">
        <v>460</v>
      </c>
      <c r="Q8" s="489" t="s">
        <v>460</v>
      </c>
      <c r="R8" s="489" t="s">
        <v>460</v>
      </c>
      <c r="S8" s="489" t="s">
        <v>460</v>
      </c>
      <c r="T8" s="489"/>
      <c r="U8" s="489"/>
      <c r="V8" s="489"/>
      <c r="W8" s="489"/>
      <c r="X8" s="489"/>
      <c r="Y8" s="489"/>
      <c r="Z8" s="489"/>
      <c r="AA8" s="489"/>
      <c r="AB8" s="489"/>
      <c r="AC8" s="489"/>
      <c r="AD8" s="489"/>
      <c r="AE8" s="489"/>
      <c r="AF8" s="489"/>
      <c r="AG8" s="489"/>
      <c r="AH8" s="489"/>
      <c r="AI8" s="489"/>
      <c r="AJ8" s="489"/>
      <c r="AK8" s="489"/>
      <c r="AL8" s="489"/>
      <c r="AM8" s="489"/>
      <c r="AN8" s="280"/>
      <c r="AO8" s="245"/>
      <c r="AP8" s="280"/>
      <c r="AQ8" s="245"/>
      <c r="AR8" s="280"/>
    </row>
    <row r="9" spans="1:44" ht="18.75" customHeight="1" x14ac:dyDescent="0.25">
      <c r="B9" s="565"/>
      <c r="C9" s="570"/>
      <c r="D9" s="226" t="s">
        <v>51</v>
      </c>
      <c r="E9" s="246" t="s">
        <v>461</v>
      </c>
      <c r="F9" s="246" t="s">
        <v>461</v>
      </c>
      <c r="G9" s="246" t="s">
        <v>461</v>
      </c>
      <c r="H9" s="246" t="s">
        <v>461</v>
      </c>
      <c r="I9" s="246" t="s">
        <v>461</v>
      </c>
      <c r="J9" s="246" t="s">
        <v>461</v>
      </c>
      <c r="K9" s="246" t="s">
        <v>461</v>
      </c>
      <c r="L9" s="246" t="s">
        <v>461</v>
      </c>
      <c r="M9" s="246" t="s">
        <v>461</v>
      </c>
      <c r="N9" s="246" t="s">
        <v>461</v>
      </c>
      <c r="O9" s="246" t="s">
        <v>461</v>
      </c>
      <c r="P9" s="246" t="s">
        <v>461</v>
      </c>
      <c r="Q9" s="246" t="s">
        <v>461</v>
      </c>
      <c r="R9" s="246" t="s">
        <v>461</v>
      </c>
      <c r="S9" s="246" t="s">
        <v>461</v>
      </c>
      <c r="T9" s="281" t="s">
        <v>572</v>
      </c>
      <c r="U9" s="246" t="s">
        <v>572</v>
      </c>
      <c r="V9" s="281" t="s">
        <v>591</v>
      </c>
      <c r="W9" s="246" t="s">
        <v>591</v>
      </c>
      <c r="X9" s="281" t="s">
        <v>591</v>
      </c>
      <c r="Y9" s="246"/>
      <c r="Z9" s="281"/>
      <c r="AA9" s="246"/>
      <c r="AB9" s="281"/>
      <c r="AC9" s="246"/>
      <c r="AD9" s="281"/>
      <c r="AE9" s="246"/>
      <c r="AF9" s="281"/>
      <c r="AG9" s="246"/>
      <c r="AH9" s="281"/>
      <c r="AI9" s="246"/>
      <c r="AJ9" s="281"/>
      <c r="AK9" s="246"/>
      <c r="AL9" s="281"/>
      <c r="AM9" s="246"/>
      <c r="AN9" s="281"/>
      <c r="AO9" s="246"/>
      <c r="AP9" s="281"/>
      <c r="AQ9" s="246"/>
      <c r="AR9" s="281"/>
    </row>
    <row r="10" spans="1:44" ht="18.75" customHeight="1" x14ac:dyDescent="0.25">
      <c r="B10" s="565"/>
      <c r="C10" s="570"/>
      <c r="D10" s="14" t="s">
        <v>52</v>
      </c>
      <c r="E10" s="16" t="s">
        <v>462</v>
      </c>
      <c r="F10" s="16" t="s">
        <v>462</v>
      </c>
      <c r="G10" s="16" t="s">
        <v>462</v>
      </c>
      <c r="H10" s="16" t="s">
        <v>462</v>
      </c>
      <c r="I10" s="16" t="s">
        <v>462</v>
      </c>
      <c r="J10" s="16" t="s">
        <v>462</v>
      </c>
      <c r="K10" s="16" t="s">
        <v>462</v>
      </c>
      <c r="L10" s="16" t="s">
        <v>462</v>
      </c>
      <c r="M10" s="16" t="s">
        <v>462</v>
      </c>
      <c r="N10" s="16" t="s">
        <v>462</v>
      </c>
      <c r="O10" s="16" t="s">
        <v>462</v>
      </c>
      <c r="P10" s="16" t="s">
        <v>462</v>
      </c>
      <c r="Q10" s="16" t="s">
        <v>462</v>
      </c>
      <c r="R10" s="16" t="s">
        <v>462</v>
      </c>
      <c r="S10" s="16" t="s">
        <v>462</v>
      </c>
      <c r="T10" s="15" t="s">
        <v>462</v>
      </c>
      <c r="U10" s="16" t="s">
        <v>462</v>
      </c>
      <c r="V10" s="15" t="s">
        <v>462</v>
      </c>
      <c r="W10" s="16" t="s">
        <v>462</v>
      </c>
      <c r="X10" s="15" t="s">
        <v>462</v>
      </c>
      <c r="Y10" s="16"/>
      <c r="Z10" s="15"/>
      <c r="AA10" s="16"/>
      <c r="AB10" s="15"/>
      <c r="AC10" s="16"/>
      <c r="AD10" s="15"/>
      <c r="AE10" s="16"/>
      <c r="AF10" s="15"/>
      <c r="AG10" s="16"/>
      <c r="AH10" s="15"/>
      <c r="AI10" s="16"/>
      <c r="AJ10" s="15"/>
      <c r="AK10" s="16"/>
      <c r="AL10" s="15"/>
      <c r="AM10" s="16"/>
      <c r="AN10" s="15"/>
      <c r="AO10" s="16"/>
      <c r="AP10" s="15"/>
      <c r="AQ10" s="16"/>
      <c r="AR10" s="15"/>
    </row>
    <row r="11" spans="1:44" ht="18.75" customHeight="1" x14ac:dyDescent="0.25">
      <c r="B11" s="565"/>
      <c r="C11" s="570"/>
      <c r="D11" s="14" t="s">
        <v>219</v>
      </c>
      <c r="E11" s="16" t="s">
        <v>463</v>
      </c>
      <c r="F11" s="16" t="s">
        <v>463</v>
      </c>
      <c r="G11" s="16" t="s">
        <v>463</v>
      </c>
      <c r="H11" s="16" t="s">
        <v>463</v>
      </c>
      <c r="I11" s="16" t="s">
        <v>463</v>
      </c>
      <c r="J11" s="16" t="s">
        <v>463</v>
      </c>
      <c r="K11" s="16" t="s">
        <v>463</v>
      </c>
      <c r="L11" s="16" t="s">
        <v>463</v>
      </c>
      <c r="M11" s="16" t="s">
        <v>463</v>
      </c>
      <c r="N11" s="16" t="s">
        <v>463</v>
      </c>
      <c r="O11" s="16" t="s">
        <v>463</v>
      </c>
      <c r="P11" s="16" t="s">
        <v>463</v>
      </c>
      <c r="Q11" s="16" t="s">
        <v>463</v>
      </c>
      <c r="R11" s="16" t="s">
        <v>463</v>
      </c>
      <c r="S11" s="16" t="s">
        <v>463</v>
      </c>
      <c r="T11" s="15" t="s">
        <v>463</v>
      </c>
      <c r="U11" s="16" t="s">
        <v>463</v>
      </c>
      <c r="V11" s="15" t="s">
        <v>463</v>
      </c>
      <c r="W11" s="16" t="s">
        <v>463</v>
      </c>
      <c r="X11" s="15" t="s">
        <v>463</v>
      </c>
      <c r="Y11" s="16"/>
      <c r="Z11" s="15"/>
      <c r="AA11" s="16"/>
      <c r="AB11" s="15"/>
      <c r="AC11" s="16"/>
      <c r="AD11" s="15"/>
      <c r="AE11" s="16"/>
      <c r="AF11" s="15"/>
      <c r="AG11" s="16"/>
      <c r="AH11" s="15"/>
      <c r="AI11" s="16"/>
      <c r="AJ11" s="15"/>
      <c r="AK11" s="16"/>
      <c r="AL11" s="15"/>
      <c r="AM11" s="16"/>
      <c r="AN11" s="15"/>
      <c r="AO11" s="16"/>
      <c r="AP11" s="15"/>
      <c r="AQ11" s="16"/>
      <c r="AR11" s="15"/>
    </row>
    <row r="12" spans="1:44" s="409" customFormat="1" ht="18.75" customHeight="1" x14ac:dyDescent="0.25">
      <c r="B12" s="565"/>
      <c r="C12" s="570"/>
      <c r="D12" s="410" t="s">
        <v>421</v>
      </c>
      <c r="E12" s="411">
        <v>9182392004</v>
      </c>
      <c r="F12" s="411">
        <v>9182392004</v>
      </c>
      <c r="G12" s="411">
        <v>9182392004</v>
      </c>
      <c r="H12" s="411">
        <v>9182392004</v>
      </c>
      <c r="I12" s="411">
        <v>9182392004</v>
      </c>
      <c r="J12" s="411">
        <v>9182392004</v>
      </c>
      <c r="K12" s="411">
        <v>9182392004</v>
      </c>
      <c r="L12" s="411">
        <v>9182392004</v>
      </c>
      <c r="M12" s="411">
        <v>9182392004</v>
      </c>
      <c r="N12" s="411">
        <v>9182392004</v>
      </c>
      <c r="O12" s="411">
        <v>9182392004</v>
      </c>
      <c r="P12" s="411">
        <v>9182392004</v>
      </c>
      <c r="Q12" s="411">
        <v>9182392004</v>
      </c>
      <c r="R12" s="411">
        <v>9182392004</v>
      </c>
      <c r="S12" s="411">
        <v>9182392004</v>
      </c>
      <c r="T12" s="412">
        <v>9124478204</v>
      </c>
      <c r="U12" s="411">
        <v>9124478204</v>
      </c>
      <c r="V12" s="412">
        <v>9124478204</v>
      </c>
      <c r="W12" s="411">
        <v>9124478204</v>
      </c>
      <c r="X12" s="412">
        <v>9124478204</v>
      </c>
      <c r="Y12" s="411"/>
      <c r="Z12" s="412"/>
      <c r="AA12" s="411"/>
      <c r="AB12" s="412"/>
      <c r="AC12" s="411"/>
      <c r="AD12" s="412"/>
      <c r="AE12" s="411"/>
      <c r="AF12" s="412"/>
      <c r="AG12" s="411"/>
      <c r="AH12" s="412"/>
      <c r="AI12" s="411"/>
      <c r="AJ12" s="412"/>
      <c r="AK12" s="411"/>
      <c r="AL12" s="412"/>
      <c r="AM12" s="411"/>
      <c r="AN12" s="412"/>
      <c r="AO12" s="411"/>
      <c r="AP12" s="412"/>
      <c r="AQ12" s="411"/>
      <c r="AR12" s="412"/>
    </row>
    <row r="13" spans="1:44" ht="18" customHeight="1" x14ac:dyDescent="0.25">
      <c r="B13" s="565"/>
      <c r="C13" s="570"/>
      <c r="D13" s="14" t="s">
        <v>10</v>
      </c>
      <c r="E13" s="500" t="s">
        <v>464</v>
      </c>
      <c r="F13" s="501" t="s">
        <v>464</v>
      </c>
      <c r="G13" s="502" t="s">
        <v>464</v>
      </c>
      <c r="H13" s="501" t="s">
        <v>465</v>
      </c>
      <c r="I13" s="503" t="s">
        <v>465</v>
      </c>
      <c r="J13" s="504" t="s">
        <v>464</v>
      </c>
      <c r="K13" s="502" t="s">
        <v>464</v>
      </c>
      <c r="L13" s="501" t="s">
        <v>465</v>
      </c>
      <c r="M13" s="503" t="s">
        <v>464</v>
      </c>
      <c r="N13" s="504" t="s">
        <v>464</v>
      </c>
      <c r="O13" s="503" t="s">
        <v>465</v>
      </c>
      <c r="P13" s="504" t="s">
        <v>465</v>
      </c>
      <c r="Q13" s="503" t="s">
        <v>464</v>
      </c>
      <c r="R13" s="503" t="s">
        <v>464</v>
      </c>
      <c r="S13" s="504" t="s">
        <v>465</v>
      </c>
      <c r="T13" s="15" t="s">
        <v>464</v>
      </c>
      <c r="U13" s="16" t="s">
        <v>465</v>
      </c>
      <c r="V13" s="15" t="s">
        <v>465</v>
      </c>
      <c r="W13" s="16" t="s">
        <v>465</v>
      </c>
      <c r="X13" s="15" t="s">
        <v>465</v>
      </c>
      <c r="Y13" s="16"/>
      <c r="Z13" s="15"/>
      <c r="AA13" s="16"/>
      <c r="AB13" s="15"/>
      <c r="AC13" s="16"/>
      <c r="AD13" s="15"/>
      <c r="AE13" s="16"/>
      <c r="AF13" s="15"/>
      <c r="AG13" s="16"/>
      <c r="AH13" s="15"/>
      <c r="AI13" s="16"/>
      <c r="AJ13" s="15"/>
      <c r="AK13" s="16"/>
      <c r="AL13" s="15"/>
      <c r="AM13" s="16"/>
      <c r="AN13" s="15"/>
      <c r="AO13" s="16"/>
      <c r="AP13" s="15"/>
      <c r="AQ13" s="16"/>
      <c r="AR13" s="15"/>
    </row>
    <row r="14" spans="1:44" s="58" customFormat="1" ht="18" customHeight="1" x14ac:dyDescent="0.25">
      <c r="B14" s="565"/>
      <c r="C14" s="570"/>
      <c r="D14" s="55" t="s">
        <v>62</v>
      </c>
      <c r="E14" s="500">
        <v>9185518763</v>
      </c>
      <c r="F14" s="501">
        <v>9185518763</v>
      </c>
      <c r="G14" s="502">
        <v>9185518763</v>
      </c>
      <c r="H14" s="501">
        <v>9184635991</v>
      </c>
      <c r="I14" s="505">
        <v>9184635991</v>
      </c>
      <c r="J14" s="506">
        <v>9185518763</v>
      </c>
      <c r="K14" s="502">
        <v>9185518763</v>
      </c>
      <c r="L14" s="501">
        <v>9184635991</v>
      </c>
      <c r="M14" s="505">
        <v>9185518763</v>
      </c>
      <c r="N14" s="506">
        <v>9185518763</v>
      </c>
      <c r="O14" s="505">
        <v>9184635991</v>
      </c>
      <c r="P14" s="506">
        <v>9184635991</v>
      </c>
      <c r="Q14" s="505">
        <v>9185518763</v>
      </c>
      <c r="R14" s="505">
        <v>9185518763</v>
      </c>
      <c r="S14" s="506">
        <v>9184635991</v>
      </c>
      <c r="T14" s="56">
        <v>9185518763</v>
      </c>
      <c r="U14" s="57">
        <v>9182600826</v>
      </c>
      <c r="V14" s="56">
        <v>9182600826</v>
      </c>
      <c r="W14" s="57">
        <v>182600826</v>
      </c>
      <c r="X14" s="56">
        <v>9188260826</v>
      </c>
      <c r="Y14" s="57"/>
      <c r="Z14" s="56"/>
      <c r="AA14" s="57"/>
      <c r="AB14" s="56"/>
      <c r="AC14" s="57"/>
      <c r="AD14" s="56"/>
      <c r="AE14" s="57"/>
      <c r="AF14" s="56"/>
      <c r="AG14" s="57"/>
      <c r="AH14" s="56"/>
      <c r="AI14" s="57"/>
      <c r="AJ14" s="56"/>
      <c r="AK14" s="57"/>
      <c r="AL14" s="56"/>
      <c r="AM14" s="57"/>
      <c r="AN14" s="56"/>
      <c r="AO14" s="57"/>
      <c r="AP14" s="56"/>
      <c r="AQ14" s="57"/>
      <c r="AR14" s="56"/>
    </row>
    <row r="15" spans="1:44" s="58" customFormat="1" ht="18" customHeight="1" x14ac:dyDescent="0.25">
      <c r="B15" s="565"/>
      <c r="C15" s="570"/>
      <c r="D15" s="55" t="s">
        <v>221</v>
      </c>
      <c r="E15" s="57" t="s">
        <v>466</v>
      </c>
      <c r="F15" s="56" t="s">
        <v>467</v>
      </c>
      <c r="G15" s="57" t="s">
        <v>466</v>
      </c>
      <c r="H15" s="56" t="s">
        <v>467</v>
      </c>
      <c r="I15" s="57" t="s">
        <v>468</v>
      </c>
      <c r="J15" s="56" t="s">
        <v>469</v>
      </c>
      <c r="K15" s="57" t="s">
        <v>470</v>
      </c>
      <c r="L15" s="56" t="s">
        <v>471</v>
      </c>
      <c r="M15" s="57" t="s">
        <v>472</v>
      </c>
      <c r="N15" s="56" t="s">
        <v>473</v>
      </c>
      <c r="O15" s="57" t="s">
        <v>474</v>
      </c>
      <c r="P15" s="56" t="s">
        <v>475</v>
      </c>
      <c r="Q15" s="57" t="s">
        <v>476</v>
      </c>
      <c r="R15" s="56" t="s">
        <v>477</v>
      </c>
      <c r="S15" s="57" t="s">
        <v>478</v>
      </c>
      <c r="T15" s="56" t="s">
        <v>573</v>
      </c>
      <c r="U15" s="57" t="s">
        <v>585</v>
      </c>
      <c r="V15" s="56" t="s">
        <v>592</v>
      </c>
      <c r="W15" s="57" t="s">
        <v>598</v>
      </c>
      <c r="X15" s="56" t="s">
        <v>598</v>
      </c>
      <c r="Y15" s="57"/>
      <c r="Z15" s="56"/>
      <c r="AA15" s="57"/>
      <c r="AB15" s="56"/>
      <c r="AC15" s="57"/>
      <c r="AD15" s="56"/>
      <c r="AE15" s="57"/>
      <c r="AF15" s="56"/>
      <c r="AG15" s="57"/>
      <c r="AH15" s="56"/>
      <c r="AI15" s="57"/>
      <c r="AJ15" s="56"/>
      <c r="AK15" s="57"/>
      <c r="AL15" s="56"/>
      <c r="AM15" s="57"/>
      <c r="AN15" s="56"/>
      <c r="AO15" s="57"/>
      <c r="AP15" s="56"/>
      <c r="AQ15" s="57"/>
      <c r="AR15" s="56"/>
    </row>
    <row r="16" spans="1:44" s="58" customFormat="1" ht="18" customHeight="1" x14ac:dyDescent="0.25">
      <c r="B16" s="565"/>
      <c r="C16" s="570"/>
      <c r="D16" s="55" t="s">
        <v>107</v>
      </c>
      <c r="E16" s="57">
        <v>35</v>
      </c>
      <c r="F16" s="56">
        <v>34</v>
      </c>
      <c r="G16" s="57">
        <v>34</v>
      </c>
      <c r="H16" s="56">
        <v>32</v>
      </c>
      <c r="I16" s="57">
        <v>7</v>
      </c>
      <c r="J16" s="56">
        <v>8</v>
      </c>
      <c r="K16" s="57">
        <v>27</v>
      </c>
      <c r="L16" s="56">
        <v>25</v>
      </c>
      <c r="M16" s="57">
        <v>23</v>
      </c>
      <c r="N16" s="56">
        <v>22</v>
      </c>
      <c r="O16" s="57">
        <v>14</v>
      </c>
      <c r="P16" s="56">
        <v>15</v>
      </c>
      <c r="Q16" s="57">
        <v>23</v>
      </c>
      <c r="R16" s="56">
        <v>8</v>
      </c>
      <c r="S16" s="57">
        <v>2</v>
      </c>
      <c r="T16" s="56">
        <v>1</v>
      </c>
      <c r="U16" s="57">
        <v>1</v>
      </c>
      <c r="V16" s="56">
        <v>1</v>
      </c>
      <c r="W16" s="57">
        <v>1</v>
      </c>
      <c r="X16" s="56">
        <v>1</v>
      </c>
      <c r="Y16" s="57"/>
      <c r="Z16" s="56"/>
      <c r="AA16" s="57"/>
      <c r="AB16" s="56"/>
      <c r="AC16" s="57"/>
      <c r="AD16" s="56"/>
      <c r="AE16" s="57"/>
      <c r="AF16" s="56"/>
      <c r="AG16" s="57"/>
      <c r="AH16" s="56"/>
      <c r="AI16" s="57"/>
      <c r="AJ16" s="56"/>
      <c r="AK16" s="57"/>
      <c r="AL16" s="56"/>
      <c r="AM16" s="57"/>
      <c r="AN16" s="56"/>
      <c r="AO16" s="57"/>
      <c r="AP16" s="56"/>
      <c r="AQ16" s="57"/>
      <c r="AR16" s="56"/>
    </row>
    <row r="17" spans="2:44" s="58" customFormat="1" ht="18" customHeight="1" x14ac:dyDescent="0.25">
      <c r="B17" s="565"/>
      <c r="C17" s="570"/>
      <c r="D17" s="55" t="s">
        <v>32</v>
      </c>
      <c r="E17" s="507">
        <v>706451419</v>
      </c>
      <c r="F17" s="56">
        <v>706545568</v>
      </c>
      <c r="G17" s="57">
        <v>706452071</v>
      </c>
      <c r="H17" s="56">
        <v>706961156</v>
      </c>
      <c r="I17" s="57">
        <v>774047709</v>
      </c>
      <c r="J17" s="56">
        <v>783152521</v>
      </c>
      <c r="K17" s="57">
        <v>711598615</v>
      </c>
      <c r="L17" s="56">
        <v>710325353</v>
      </c>
      <c r="M17" s="57">
        <v>723066890</v>
      </c>
      <c r="N17" s="56">
        <v>728077954</v>
      </c>
      <c r="O17" s="57">
        <v>728318824</v>
      </c>
      <c r="P17" s="56">
        <v>734390971</v>
      </c>
      <c r="Q17" s="57">
        <v>733491926</v>
      </c>
      <c r="R17" s="56">
        <v>784789342</v>
      </c>
      <c r="S17" s="57">
        <v>790877478</v>
      </c>
      <c r="T17" s="56">
        <v>805082978</v>
      </c>
      <c r="U17" s="57">
        <v>806584376</v>
      </c>
      <c r="V17" s="56">
        <v>805677433</v>
      </c>
      <c r="W17" s="57">
        <v>805645242</v>
      </c>
      <c r="X17" s="56">
        <v>805675516</v>
      </c>
      <c r="Y17" s="57"/>
      <c r="Z17" s="56"/>
      <c r="AA17" s="57"/>
      <c r="AB17" s="56"/>
      <c r="AC17" s="57"/>
      <c r="AD17" s="56"/>
      <c r="AE17" s="57"/>
      <c r="AF17" s="56"/>
      <c r="AG17" s="57"/>
      <c r="AH17" s="56"/>
      <c r="AI17" s="57"/>
      <c r="AJ17" s="56"/>
      <c r="AK17" s="57"/>
      <c r="AL17" s="56"/>
      <c r="AM17" s="57"/>
      <c r="AN17" s="56"/>
      <c r="AO17" s="57"/>
      <c r="AP17" s="56"/>
      <c r="AQ17" s="57"/>
      <c r="AR17" s="56"/>
    </row>
    <row r="18" spans="2:44" ht="18" customHeight="1" x14ac:dyDescent="0.25">
      <c r="B18" s="565"/>
      <c r="C18" s="570"/>
      <c r="D18" s="14" t="s">
        <v>21</v>
      </c>
      <c r="E18" s="16" t="s">
        <v>287</v>
      </c>
      <c r="F18" s="15" t="s">
        <v>287</v>
      </c>
      <c r="G18" s="16" t="s">
        <v>287</v>
      </c>
      <c r="H18" s="15" t="s">
        <v>287</v>
      </c>
      <c r="I18" s="16" t="s">
        <v>606</v>
      </c>
      <c r="J18" s="15" t="s">
        <v>285</v>
      </c>
      <c r="K18" s="16" t="s">
        <v>286</v>
      </c>
      <c r="L18" s="15" t="s">
        <v>286</v>
      </c>
      <c r="M18" s="16" t="s">
        <v>286</v>
      </c>
      <c r="N18" s="15" t="s">
        <v>286</v>
      </c>
      <c r="O18" s="16" t="s">
        <v>566</v>
      </c>
      <c r="P18" s="15" t="s">
        <v>566</v>
      </c>
      <c r="Q18" s="16" t="s">
        <v>286</v>
      </c>
      <c r="R18" s="15" t="s">
        <v>607</v>
      </c>
      <c r="S18" s="16" t="s">
        <v>608</v>
      </c>
      <c r="T18" s="15" t="s">
        <v>284</v>
      </c>
      <c r="U18" s="16" t="s">
        <v>284</v>
      </c>
      <c r="V18" s="15" t="s">
        <v>593</v>
      </c>
      <c r="W18" s="16" t="s">
        <v>593</v>
      </c>
      <c r="X18" s="15" t="s">
        <v>284</v>
      </c>
      <c r="Y18" s="16"/>
      <c r="Z18" s="15"/>
      <c r="AA18" s="16"/>
      <c r="AB18" s="15"/>
      <c r="AC18" s="16"/>
      <c r="AD18" s="15"/>
      <c r="AE18" s="16"/>
      <c r="AF18" s="15"/>
      <c r="AG18" s="16"/>
      <c r="AH18" s="15"/>
      <c r="AI18" s="16"/>
      <c r="AJ18" s="15"/>
      <c r="AK18" s="16"/>
      <c r="AL18" s="15"/>
      <c r="AM18" s="16"/>
      <c r="AN18" s="15"/>
      <c r="AO18" s="16"/>
      <c r="AP18" s="15"/>
      <c r="AQ18" s="16"/>
      <c r="AR18" s="15"/>
    </row>
    <row r="19" spans="2:44" s="63" customFormat="1" ht="18" customHeight="1" x14ac:dyDescent="0.25">
      <c r="B19" s="565"/>
      <c r="C19" s="570"/>
      <c r="D19" s="64" t="s">
        <v>53</v>
      </c>
      <c r="E19" s="234" t="s">
        <v>479</v>
      </c>
      <c r="F19" s="282" t="s">
        <v>480</v>
      </c>
      <c r="G19" s="234" t="s">
        <v>481</v>
      </c>
      <c r="H19" s="65" t="s">
        <v>482</v>
      </c>
      <c r="I19" s="234" t="s">
        <v>483</v>
      </c>
      <c r="J19" s="331" t="s">
        <v>484</v>
      </c>
      <c r="K19" s="66" t="s">
        <v>485</v>
      </c>
      <c r="L19" s="331" t="s">
        <v>486</v>
      </c>
      <c r="M19" s="66" t="s">
        <v>575</v>
      </c>
      <c r="N19" s="331" t="s">
        <v>578</v>
      </c>
      <c r="O19" s="66" t="s">
        <v>612</v>
      </c>
      <c r="P19" s="331" t="s">
        <v>487</v>
      </c>
      <c r="Q19" s="66" t="s">
        <v>488</v>
      </c>
      <c r="R19" s="331" t="s">
        <v>489</v>
      </c>
      <c r="S19" s="66" t="s">
        <v>490</v>
      </c>
      <c r="T19" s="331" t="s">
        <v>581</v>
      </c>
      <c r="U19" s="66" t="s">
        <v>586</v>
      </c>
      <c r="V19" s="331" t="s">
        <v>594</v>
      </c>
      <c r="W19" s="66" t="s">
        <v>599</v>
      </c>
      <c r="X19" s="331" t="s">
        <v>603</v>
      </c>
      <c r="Y19" s="66"/>
      <c r="Z19" s="331"/>
      <c r="AA19" s="66"/>
      <c r="AB19" s="331"/>
      <c r="AC19" s="66"/>
      <c r="AD19" s="331"/>
      <c r="AE19" s="66"/>
      <c r="AF19" s="331"/>
      <c r="AG19" s="66"/>
      <c r="AH19" s="331"/>
      <c r="AI19" s="234"/>
      <c r="AJ19" s="282"/>
      <c r="AK19" s="234"/>
      <c r="AL19" s="65"/>
      <c r="AM19" s="234"/>
      <c r="AN19" s="331"/>
      <c r="AO19" s="66"/>
      <c r="AP19" s="331"/>
      <c r="AQ19" s="66"/>
      <c r="AR19" s="331"/>
    </row>
    <row r="20" spans="2:44" s="63" customFormat="1" ht="18" customHeight="1" x14ac:dyDescent="0.25">
      <c r="B20" s="565"/>
      <c r="C20" s="570"/>
      <c r="D20" s="64" t="s">
        <v>54</v>
      </c>
      <c r="E20" s="234" t="s">
        <v>491</v>
      </c>
      <c r="F20" s="282" t="s">
        <v>492</v>
      </c>
      <c r="G20" s="234" t="s">
        <v>493</v>
      </c>
      <c r="H20" s="65" t="s">
        <v>494</v>
      </c>
      <c r="I20" s="234" t="s">
        <v>495</v>
      </c>
      <c r="J20" s="331" t="s">
        <v>496</v>
      </c>
      <c r="K20" s="66" t="s">
        <v>497</v>
      </c>
      <c r="L20" s="331" t="s">
        <v>498</v>
      </c>
      <c r="M20" s="66" t="s">
        <v>576</v>
      </c>
      <c r="N20" s="331" t="s">
        <v>579</v>
      </c>
      <c r="O20" s="66" t="s">
        <v>499</v>
      </c>
      <c r="P20" s="331" t="s">
        <v>500</v>
      </c>
      <c r="Q20" s="66" t="s">
        <v>501</v>
      </c>
      <c r="R20" s="331" t="s">
        <v>502</v>
      </c>
      <c r="S20" s="66" t="s">
        <v>609</v>
      </c>
      <c r="T20" s="331" t="s">
        <v>580</v>
      </c>
      <c r="U20" s="66" t="s">
        <v>587</v>
      </c>
      <c r="V20" s="331" t="s">
        <v>595</v>
      </c>
      <c r="W20" s="66" t="s">
        <v>600</v>
      </c>
      <c r="X20" s="331" t="s">
        <v>604</v>
      </c>
      <c r="Y20" s="66"/>
      <c r="Z20" s="331"/>
      <c r="AA20" s="66"/>
      <c r="AB20" s="331"/>
      <c r="AC20" s="66"/>
      <c r="AD20" s="331"/>
      <c r="AE20" s="66"/>
      <c r="AF20" s="331"/>
      <c r="AG20" s="66"/>
      <c r="AH20" s="331"/>
      <c r="AI20" s="234"/>
      <c r="AJ20" s="282"/>
      <c r="AK20" s="234"/>
      <c r="AL20" s="65"/>
      <c r="AM20" s="234"/>
      <c r="AN20" s="331"/>
      <c r="AO20" s="66"/>
      <c r="AP20" s="331"/>
      <c r="AQ20" s="66"/>
      <c r="AR20" s="331"/>
    </row>
    <row r="21" spans="2:44" s="63" customFormat="1" ht="18" customHeight="1" thickBot="1" x14ac:dyDescent="0.3">
      <c r="B21" s="565"/>
      <c r="C21" s="570"/>
      <c r="D21" s="227" t="s">
        <v>55</v>
      </c>
      <c r="E21" s="247" t="s">
        <v>503</v>
      </c>
      <c r="F21" s="283" t="s">
        <v>504</v>
      </c>
      <c r="G21" s="247" t="s">
        <v>505</v>
      </c>
      <c r="H21" s="326" t="s">
        <v>506</v>
      </c>
      <c r="I21" s="247" t="s">
        <v>507</v>
      </c>
      <c r="J21" s="332" t="s">
        <v>508</v>
      </c>
      <c r="K21" s="333" t="s">
        <v>509</v>
      </c>
      <c r="L21" s="332" t="s">
        <v>510</v>
      </c>
      <c r="M21" s="333" t="s">
        <v>577</v>
      </c>
      <c r="N21" s="332" t="s">
        <v>511</v>
      </c>
      <c r="O21" s="333" t="s">
        <v>613</v>
      </c>
      <c r="P21" s="332" t="s">
        <v>610</v>
      </c>
      <c r="Q21" s="333" t="s">
        <v>512</v>
      </c>
      <c r="R21" s="332" t="s">
        <v>513</v>
      </c>
      <c r="S21" s="333" t="s">
        <v>514</v>
      </c>
      <c r="T21" s="332" t="s">
        <v>582</v>
      </c>
      <c r="U21" s="333" t="s">
        <v>588</v>
      </c>
      <c r="V21" s="332" t="s">
        <v>596</v>
      </c>
      <c r="W21" s="333" t="s">
        <v>601</v>
      </c>
      <c r="X21" s="332" t="s">
        <v>605</v>
      </c>
      <c r="Y21" s="333"/>
      <c r="Z21" s="332"/>
      <c r="AA21" s="333"/>
      <c r="AB21" s="332"/>
      <c r="AC21" s="333"/>
      <c r="AD21" s="332"/>
      <c r="AE21" s="333"/>
      <c r="AF21" s="332"/>
      <c r="AG21" s="333"/>
      <c r="AH21" s="332"/>
      <c r="AI21" s="247"/>
      <c r="AJ21" s="283"/>
      <c r="AK21" s="247"/>
      <c r="AL21" s="326"/>
      <c r="AM21" s="247"/>
      <c r="AN21" s="332"/>
      <c r="AO21" s="333"/>
      <c r="AP21" s="332"/>
      <c r="AQ21" s="333"/>
      <c r="AR21" s="332"/>
    </row>
    <row r="22" spans="2:44" ht="18.75" customHeight="1" x14ac:dyDescent="0.25">
      <c r="B22" s="563" t="s">
        <v>11</v>
      </c>
      <c r="C22" s="569"/>
      <c r="D22" s="67" t="s">
        <v>0</v>
      </c>
      <c r="E22" s="20">
        <v>15</v>
      </c>
      <c r="F22" s="284">
        <v>15</v>
      </c>
      <c r="G22" s="20">
        <v>15</v>
      </c>
      <c r="H22" s="284">
        <v>16</v>
      </c>
      <c r="I22" s="20">
        <v>16</v>
      </c>
      <c r="J22" s="284">
        <v>16</v>
      </c>
      <c r="K22" s="20">
        <v>17</v>
      </c>
      <c r="L22" s="284">
        <v>17</v>
      </c>
      <c r="M22" s="20">
        <v>15</v>
      </c>
      <c r="N22" s="284">
        <v>15</v>
      </c>
      <c r="O22" s="20">
        <v>14</v>
      </c>
      <c r="P22" s="284">
        <v>14</v>
      </c>
      <c r="Q22" s="20">
        <v>15</v>
      </c>
      <c r="R22" s="284">
        <v>18</v>
      </c>
      <c r="S22" s="20">
        <v>18</v>
      </c>
      <c r="T22" s="284">
        <v>18</v>
      </c>
      <c r="U22" s="20">
        <v>15</v>
      </c>
      <c r="V22" s="284">
        <v>15</v>
      </c>
      <c r="W22" s="20">
        <v>13</v>
      </c>
      <c r="X22" s="284">
        <v>15</v>
      </c>
      <c r="Y22" s="20"/>
      <c r="Z22" s="284"/>
      <c r="AA22" s="20"/>
      <c r="AB22" s="284"/>
      <c r="AC22" s="20"/>
      <c r="AD22" s="284"/>
      <c r="AE22" s="20"/>
      <c r="AF22" s="284"/>
      <c r="AG22" s="20"/>
      <c r="AH22" s="284"/>
      <c r="AI22" s="20"/>
      <c r="AJ22" s="284"/>
      <c r="AK22" s="20"/>
      <c r="AL22" s="284"/>
      <c r="AM22" s="20"/>
      <c r="AN22" s="284"/>
      <c r="AO22" s="20"/>
      <c r="AP22" s="284"/>
      <c r="AQ22" s="20"/>
      <c r="AR22" s="284"/>
    </row>
    <row r="23" spans="2:44" ht="18.75" customHeight="1" x14ac:dyDescent="0.25">
      <c r="B23" s="565"/>
      <c r="C23" s="570"/>
      <c r="D23" s="21" t="s">
        <v>1</v>
      </c>
      <c r="E23" s="22">
        <v>15</v>
      </c>
      <c r="F23" s="23">
        <v>14</v>
      </c>
      <c r="G23" s="22">
        <v>15</v>
      </c>
      <c r="H23" s="23">
        <v>16</v>
      </c>
      <c r="I23" s="22">
        <v>16</v>
      </c>
      <c r="J23" s="23">
        <v>14</v>
      </c>
      <c r="K23" s="22">
        <v>17</v>
      </c>
      <c r="L23" s="23">
        <v>17</v>
      </c>
      <c r="M23" s="22">
        <v>15</v>
      </c>
      <c r="N23" s="23">
        <v>15</v>
      </c>
      <c r="O23" s="22">
        <v>14</v>
      </c>
      <c r="P23" s="23">
        <v>14</v>
      </c>
      <c r="Q23" s="22">
        <v>15</v>
      </c>
      <c r="R23" s="23">
        <v>18</v>
      </c>
      <c r="S23" s="22">
        <v>18</v>
      </c>
      <c r="T23" s="23">
        <v>18</v>
      </c>
      <c r="U23" s="22">
        <v>15</v>
      </c>
      <c r="V23" s="23">
        <v>15</v>
      </c>
      <c r="W23" s="22">
        <v>13</v>
      </c>
      <c r="X23" s="23">
        <v>14</v>
      </c>
      <c r="Y23" s="22"/>
      <c r="Z23" s="23"/>
      <c r="AA23" s="22"/>
      <c r="AB23" s="23"/>
      <c r="AC23" s="22"/>
      <c r="AD23" s="23"/>
      <c r="AE23" s="22"/>
      <c r="AF23" s="23"/>
      <c r="AG23" s="22"/>
      <c r="AH23" s="23"/>
      <c r="AI23" s="22"/>
      <c r="AJ23" s="23"/>
      <c r="AK23" s="22"/>
      <c r="AL23" s="23"/>
      <c r="AM23" s="22"/>
      <c r="AN23" s="23"/>
      <c r="AO23" s="22"/>
      <c r="AP23" s="23"/>
      <c r="AQ23" s="22"/>
      <c r="AR23" s="23"/>
    </row>
    <row r="24" spans="2:44" ht="18.75" customHeight="1" x14ac:dyDescent="0.25">
      <c r="B24" s="565"/>
      <c r="C24" s="570"/>
      <c r="D24" s="21" t="s">
        <v>2</v>
      </c>
      <c r="E24" s="24">
        <f t="shared" ref="E24:O24" si="38">E22-E23</f>
        <v>0</v>
      </c>
      <c r="F24" s="285">
        <f t="shared" si="38"/>
        <v>1</v>
      </c>
      <c r="G24" s="24">
        <f t="shared" si="38"/>
        <v>0</v>
      </c>
      <c r="H24" s="285">
        <f t="shared" si="38"/>
        <v>0</v>
      </c>
      <c r="I24" s="24">
        <f t="shared" si="38"/>
        <v>0</v>
      </c>
      <c r="J24" s="285">
        <f t="shared" si="38"/>
        <v>2</v>
      </c>
      <c r="K24" s="24">
        <f t="shared" si="38"/>
        <v>0</v>
      </c>
      <c r="L24" s="285">
        <f t="shared" si="38"/>
        <v>0</v>
      </c>
      <c r="M24" s="24">
        <f t="shared" si="38"/>
        <v>0</v>
      </c>
      <c r="N24" s="285">
        <f t="shared" si="38"/>
        <v>0</v>
      </c>
      <c r="O24" s="24">
        <f t="shared" si="38"/>
        <v>0</v>
      </c>
      <c r="P24" s="285">
        <f>P22-P23</f>
        <v>0</v>
      </c>
      <c r="Q24" s="24">
        <f t="shared" ref="Q24:AR24" si="39">Q22-Q23</f>
        <v>0</v>
      </c>
      <c r="R24" s="285">
        <f t="shared" si="39"/>
        <v>0</v>
      </c>
      <c r="S24" s="24">
        <f t="shared" si="39"/>
        <v>0</v>
      </c>
      <c r="T24" s="285">
        <f t="shared" si="39"/>
        <v>0</v>
      </c>
      <c r="U24" s="24">
        <f t="shared" si="39"/>
        <v>0</v>
      </c>
      <c r="V24" s="285">
        <f t="shared" si="39"/>
        <v>0</v>
      </c>
      <c r="W24" s="24">
        <f t="shared" si="39"/>
        <v>0</v>
      </c>
      <c r="X24" s="285">
        <f t="shared" si="39"/>
        <v>1</v>
      </c>
      <c r="Y24" s="24">
        <f t="shared" si="39"/>
        <v>0</v>
      </c>
      <c r="Z24" s="285">
        <f t="shared" si="39"/>
        <v>0</v>
      </c>
      <c r="AA24" s="24">
        <f t="shared" si="39"/>
        <v>0</v>
      </c>
      <c r="AB24" s="285">
        <f t="shared" si="39"/>
        <v>0</v>
      </c>
      <c r="AC24" s="24">
        <f t="shared" si="39"/>
        <v>0</v>
      </c>
      <c r="AD24" s="285">
        <f t="shared" si="39"/>
        <v>0</v>
      </c>
      <c r="AE24" s="24">
        <f t="shared" si="39"/>
        <v>0</v>
      </c>
      <c r="AF24" s="285">
        <f t="shared" si="39"/>
        <v>0</v>
      </c>
      <c r="AG24" s="24">
        <f t="shared" si="39"/>
        <v>0</v>
      </c>
      <c r="AH24" s="285">
        <f t="shared" si="39"/>
        <v>0</v>
      </c>
      <c r="AI24" s="24">
        <f t="shared" si="39"/>
        <v>0</v>
      </c>
      <c r="AJ24" s="285">
        <f t="shared" si="39"/>
        <v>0</v>
      </c>
      <c r="AK24" s="24">
        <f t="shared" si="39"/>
        <v>0</v>
      </c>
      <c r="AL24" s="285">
        <f t="shared" si="39"/>
        <v>0</v>
      </c>
      <c r="AM24" s="24">
        <f t="shared" si="39"/>
        <v>0</v>
      </c>
      <c r="AN24" s="285">
        <f t="shared" si="39"/>
        <v>0</v>
      </c>
      <c r="AO24" s="24">
        <f t="shared" si="39"/>
        <v>0</v>
      </c>
      <c r="AP24" s="285">
        <f t="shared" si="39"/>
        <v>0</v>
      </c>
      <c r="AQ24" s="24">
        <f t="shared" si="39"/>
        <v>0</v>
      </c>
      <c r="AR24" s="285">
        <f t="shared" si="39"/>
        <v>0</v>
      </c>
    </row>
    <row r="25" spans="2:44" ht="18.75" customHeight="1" x14ac:dyDescent="0.25">
      <c r="B25" s="565"/>
      <c r="C25" s="570"/>
      <c r="D25" s="21" t="s">
        <v>109</v>
      </c>
      <c r="E25" s="25">
        <f>(E23/E22)*100</f>
        <v>100</v>
      </c>
      <c r="F25" s="286">
        <f t="shared" ref="F25:L25" si="40">(F23/F22)*100</f>
        <v>93.333333333333329</v>
      </c>
      <c r="G25" s="25">
        <f t="shared" si="40"/>
        <v>100</v>
      </c>
      <c r="H25" s="286">
        <f t="shared" si="40"/>
        <v>100</v>
      </c>
      <c r="I25" s="25">
        <f t="shared" si="40"/>
        <v>100</v>
      </c>
      <c r="J25" s="286">
        <f t="shared" si="40"/>
        <v>87.5</v>
      </c>
      <c r="K25" s="25">
        <f t="shared" si="40"/>
        <v>100</v>
      </c>
      <c r="L25" s="286">
        <f t="shared" si="40"/>
        <v>100</v>
      </c>
      <c r="M25" s="25">
        <f t="shared" ref="M25:X25" si="41">(M23/M22)*100</f>
        <v>100</v>
      </c>
      <c r="N25" s="286">
        <f>(N23/N22)*100</f>
        <v>100</v>
      </c>
      <c r="O25" s="25">
        <f t="shared" si="41"/>
        <v>100</v>
      </c>
      <c r="P25" s="286">
        <f t="shared" si="41"/>
        <v>100</v>
      </c>
      <c r="Q25" s="25">
        <f t="shared" si="41"/>
        <v>100</v>
      </c>
      <c r="R25" s="286">
        <f t="shared" si="41"/>
        <v>100</v>
      </c>
      <c r="S25" s="25">
        <f t="shared" si="41"/>
        <v>100</v>
      </c>
      <c r="T25" s="286">
        <f t="shared" si="41"/>
        <v>100</v>
      </c>
      <c r="U25" s="25">
        <f t="shared" si="41"/>
        <v>100</v>
      </c>
      <c r="V25" s="286">
        <f t="shared" si="41"/>
        <v>100</v>
      </c>
      <c r="W25" s="25">
        <f t="shared" si="41"/>
        <v>100</v>
      </c>
      <c r="X25" s="286">
        <f t="shared" si="41"/>
        <v>93.333333333333329</v>
      </c>
      <c r="Y25" s="25" t="e">
        <f t="shared" ref="Y25:AQ25" si="42">(Y23/Y22)*100</f>
        <v>#DIV/0!</v>
      </c>
      <c r="Z25" s="286" t="e">
        <f t="shared" si="42"/>
        <v>#DIV/0!</v>
      </c>
      <c r="AA25" s="25" t="e">
        <f t="shared" si="42"/>
        <v>#DIV/0!</v>
      </c>
      <c r="AB25" s="286" t="e">
        <f t="shared" si="42"/>
        <v>#DIV/0!</v>
      </c>
      <c r="AC25" s="25" t="e">
        <f t="shared" si="42"/>
        <v>#DIV/0!</v>
      </c>
      <c r="AD25" s="286" t="e">
        <f t="shared" si="42"/>
        <v>#DIV/0!</v>
      </c>
      <c r="AE25" s="25" t="e">
        <f t="shared" si="42"/>
        <v>#DIV/0!</v>
      </c>
      <c r="AF25" s="286" t="e">
        <f t="shared" si="42"/>
        <v>#DIV/0!</v>
      </c>
      <c r="AG25" s="25" t="e">
        <f t="shared" si="42"/>
        <v>#DIV/0!</v>
      </c>
      <c r="AH25" s="286" t="e">
        <f t="shared" si="42"/>
        <v>#DIV/0!</v>
      </c>
      <c r="AI25" s="25" t="e">
        <f t="shared" si="42"/>
        <v>#DIV/0!</v>
      </c>
      <c r="AJ25" s="286" t="e">
        <f t="shared" si="42"/>
        <v>#DIV/0!</v>
      </c>
      <c r="AK25" s="25" t="e">
        <f t="shared" si="42"/>
        <v>#DIV/0!</v>
      </c>
      <c r="AL25" s="286" t="e">
        <f t="shared" si="42"/>
        <v>#DIV/0!</v>
      </c>
      <c r="AM25" s="25" t="e">
        <f t="shared" si="42"/>
        <v>#DIV/0!</v>
      </c>
      <c r="AN25" s="286" t="e">
        <f t="shared" si="42"/>
        <v>#DIV/0!</v>
      </c>
      <c r="AO25" s="25" t="e">
        <f t="shared" si="42"/>
        <v>#DIV/0!</v>
      </c>
      <c r="AP25" s="286" t="e">
        <f t="shared" si="42"/>
        <v>#DIV/0!</v>
      </c>
      <c r="AQ25" s="25" t="e">
        <f t="shared" si="42"/>
        <v>#DIV/0!</v>
      </c>
      <c r="AR25" s="286" t="e">
        <f>(AR23/AR22)*100</f>
        <v>#DIV/0!</v>
      </c>
    </row>
    <row r="26" spans="2:44" ht="18.75" customHeight="1" x14ac:dyDescent="0.25">
      <c r="B26" s="565"/>
      <c r="C26" s="570"/>
      <c r="D26" s="21" t="s">
        <v>67</v>
      </c>
      <c r="E26" s="22"/>
      <c r="F26" s="23">
        <v>1</v>
      </c>
      <c r="G26" s="22">
        <v>3</v>
      </c>
      <c r="H26" s="23">
        <v>0</v>
      </c>
      <c r="I26" s="22"/>
      <c r="J26" s="23"/>
      <c r="K26" s="22"/>
      <c r="L26" s="23">
        <v>1</v>
      </c>
      <c r="M26" s="22"/>
      <c r="N26" s="23"/>
      <c r="O26" s="22"/>
      <c r="P26" s="23"/>
      <c r="Q26" s="22"/>
      <c r="R26" s="23"/>
      <c r="S26" s="22"/>
      <c r="T26" s="23"/>
      <c r="U26" s="22"/>
      <c r="V26" s="23"/>
      <c r="W26" s="22"/>
      <c r="X26" s="23"/>
      <c r="Y26" s="22"/>
      <c r="Z26" s="23"/>
      <c r="AA26" s="22"/>
      <c r="AB26" s="23"/>
      <c r="AC26" s="22"/>
      <c r="AD26" s="23"/>
      <c r="AE26" s="22"/>
      <c r="AF26" s="23"/>
      <c r="AG26" s="22"/>
      <c r="AH26" s="23"/>
      <c r="AI26" s="22"/>
      <c r="AJ26" s="23"/>
      <c r="AK26" s="22"/>
      <c r="AL26" s="23"/>
      <c r="AM26" s="22"/>
      <c r="AN26" s="23"/>
      <c r="AO26" s="22"/>
      <c r="AP26" s="23"/>
      <c r="AQ26" s="22"/>
      <c r="AR26" s="23"/>
    </row>
    <row r="27" spans="2:44" ht="18.75" customHeight="1" x14ac:dyDescent="0.25">
      <c r="B27" s="565"/>
      <c r="C27" s="570"/>
      <c r="D27" s="21" t="s">
        <v>110</v>
      </c>
      <c r="E27" s="24">
        <f>(E26/E22)*100</f>
        <v>0</v>
      </c>
      <c r="F27" s="285">
        <f t="shared" ref="F27:L27" si="43">(F26/F22)*100</f>
        <v>6.666666666666667</v>
      </c>
      <c r="G27" s="24">
        <f t="shared" si="43"/>
        <v>20</v>
      </c>
      <c r="H27" s="285">
        <f t="shared" si="43"/>
        <v>0</v>
      </c>
      <c r="I27" s="24">
        <f t="shared" si="43"/>
        <v>0</v>
      </c>
      <c r="J27" s="285">
        <f t="shared" si="43"/>
        <v>0</v>
      </c>
      <c r="K27" s="24">
        <f t="shared" si="43"/>
        <v>0</v>
      </c>
      <c r="L27" s="285">
        <f t="shared" si="43"/>
        <v>5.8823529411764701</v>
      </c>
      <c r="M27" s="24">
        <f t="shared" ref="M27:X27" si="44">(M26/M22)*100</f>
        <v>0</v>
      </c>
      <c r="N27" s="285">
        <f t="shared" si="44"/>
        <v>0</v>
      </c>
      <c r="O27" s="24">
        <f t="shared" si="44"/>
        <v>0</v>
      </c>
      <c r="P27" s="285">
        <f t="shared" si="44"/>
        <v>0</v>
      </c>
      <c r="Q27" s="24">
        <f t="shared" si="44"/>
        <v>0</v>
      </c>
      <c r="R27" s="285">
        <f t="shared" si="44"/>
        <v>0</v>
      </c>
      <c r="S27" s="24">
        <f t="shared" si="44"/>
        <v>0</v>
      </c>
      <c r="T27" s="285">
        <f t="shared" si="44"/>
        <v>0</v>
      </c>
      <c r="U27" s="24">
        <f t="shared" si="44"/>
        <v>0</v>
      </c>
      <c r="V27" s="285">
        <f t="shared" si="44"/>
        <v>0</v>
      </c>
      <c r="W27" s="24">
        <f t="shared" si="44"/>
        <v>0</v>
      </c>
      <c r="X27" s="285">
        <f t="shared" si="44"/>
        <v>0</v>
      </c>
      <c r="Y27" s="24" t="e">
        <f t="shared" ref="Y27:AH27" si="45">(Y26/Y22)*100</f>
        <v>#DIV/0!</v>
      </c>
      <c r="Z27" s="285" t="e">
        <f t="shared" si="45"/>
        <v>#DIV/0!</v>
      </c>
      <c r="AA27" s="24" t="e">
        <f t="shared" si="45"/>
        <v>#DIV/0!</v>
      </c>
      <c r="AB27" s="285" t="e">
        <f t="shared" si="45"/>
        <v>#DIV/0!</v>
      </c>
      <c r="AC27" s="24" t="e">
        <f t="shared" si="45"/>
        <v>#DIV/0!</v>
      </c>
      <c r="AD27" s="285" t="e">
        <f t="shared" si="45"/>
        <v>#DIV/0!</v>
      </c>
      <c r="AE27" s="24" t="e">
        <f t="shared" si="45"/>
        <v>#DIV/0!</v>
      </c>
      <c r="AF27" s="285" t="e">
        <f t="shared" si="45"/>
        <v>#DIV/0!</v>
      </c>
      <c r="AG27" s="24" t="e">
        <f t="shared" si="45"/>
        <v>#DIV/0!</v>
      </c>
      <c r="AH27" s="285" t="e">
        <f t="shared" si="45"/>
        <v>#DIV/0!</v>
      </c>
      <c r="AI27" s="24" t="e">
        <f>(AI26/AI22)*100</f>
        <v>#DIV/0!</v>
      </c>
      <c r="AJ27" s="285" t="e">
        <f t="shared" ref="AJ27:AR27" si="46">(AJ26/AJ22)*100</f>
        <v>#DIV/0!</v>
      </c>
      <c r="AK27" s="24" t="e">
        <f t="shared" si="46"/>
        <v>#DIV/0!</v>
      </c>
      <c r="AL27" s="285" t="e">
        <f t="shared" si="46"/>
        <v>#DIV/0!</v>
      </c>
      <c r="AM27" s="24" t="e">
        <f t="shared" si="46"/>
        <v>#DIV/0!</v>
      </c>
      <c r="AN27" s="285" t="e">
        <f t="shared" si="46"/>
        <v>#DIV/0!</v>
      </c>
      <c r="AO27" s="24" t="e">
        <f t="shared" si="46"/>
        <v>#DIV/0!</v>
      </c>
      <c r="AP27" s="285" t="e">
        <f t="shared" si="46"/>
        <v>#DIV/0!</v>
      </c>
      <c r="AQ27" s="24" t="e">
        <f t="shared" si="46"/>
        <v>#DIV/0!</v>
      </c>
      <c r="AR27" s="285" t="e">
        <f t="shared" si="46"/>
        <v>#DIV/0!</v>
      </c>
    </row>
    <row r="28" spans="2:44" ht="18" customHeight="1" x14ac:dyDescent="0.25">
      <c r="B28" s="565"/>
      <c r="C28" s="570"/>
      <c r="D28" s="21" t="s">
        <v>23</v>
      </c>
      <c r="E28" s="22">
        <v>0</v>
      </c>
      <c r="F28" s="23">
        <v>0</v>
      </c>
      <c r="G28" s="22">
        <v>1</v>
      </c>
      <c r="H28" s="23"/>
      <c r="I28" s="22"/>
      <c r="J28" s="23"/>
      <c r="K28" s="22">
        <v>0</v>
      </c>
      <c r="L28" s="23"/>
      <c r="M28" s="22"/>
      <c r="N28" s="23"/>
      <c r="O28" s="22"/>
      <c r="P28" s="23"/>
      <c r="Q28" s="22"/>
      <c r="R28" s="23"/>
      <c r="S28" s="22"/>
      <c r="T28" s="23"/>
      <c r="U28" s="22"/>
      <c r="V28" s="23"/>
      <c r="W28" s="22"/>
      <c r="X28" s="23"/>
      <c r="Y28" s="22"/>
      <c r="Z28" s="23"/>
      <c r="AA28" s="22"/>
      <c r="AB28" s="23"/>
      <c r="AC28" s="22"/>
      <c r="AD28" s="23"/>
      <c r="AE28" s="22"/>
      <c r="AF28" s="23"/>
      <c r="AG28" s="22"/>
      <c r="AH28" s="23"/>
      <c r="AI28" s="22"/>
      <c r="AJ28" s="23"/>
      <c r="AK28" s="22"/>
      <c r="AL28" s="23"/>
      <c r="AM28" s="22"/>
      <c r="AN28" s="23"/>
      <c r="AO28" s="22"/>
      <c r="AP28" s="23"/>
      <c r="AQ28" s="22"/>
      <c r="AR28" s="23"/>
    </row>
    <row r="29" spans="2:44" ht="18" customHeight="1" thickBot="1" x14ac:dyDescent="0.3">
      <c r="B29" s="567"/>
      <c r="C29" s="571"/>
      <c r="D29" s="26" t="s">
        <v>108</v>
      </c>
      <c r="E29" s="27">
        <v>31</v>
      </c>
      <c r="F29" s="28">
        <v>36</v>
      </c>
      <c r="G29" s="27">
        <v>35</v>
      </c>
      <c r="H29" s="28">
        <v>30</v>
      </c>
      <c r="I29" s="27">
        <v>30</v>
      </c>
      <c r="J29" s="28">
        <v>40</v>
      </c>
      <c r="K29" s="27">
        <v>35</v>
      </c>
      <c r="L29" s="28">
        <v>33</v>
      </c>
      <c r="M29" s="27">
        <v>29</v>
      </c>
      <c r="N29" s="28">
        <v>32</v>
      </c>
      <c r="O29" s="27">
        <v>31</v>
      </c>
      <c r="P29" s="28">
        <v>34</v>
      </c>
      <c r="Q29" s="27">
        <v>32</v>
      </c>
      <c r="R29" s="28">
        <v>35</v>
      </c>
      <c r="S29" s="27">
        <v>30</v>
      </c>
      <c r="T29" s="28">
        <v>33</v>
      </c>
      <c r="U29" s="27">
        <v>31</v>
      </c>
      <c r="V29" s="28">
        <v>30</v>
      </c>
      <c r="W29" s="27">
        <v>35</v>
      </c>
      <c r="X29" s="28">
        <v>37</v>
      </c>
      <c r="Y29" s="27"/>
      <c r="Z29" s="28"/>
      <c r="AA29" s="27"/>
      <c r="AB29" s="28"/>
      <c r="AC29" s="27"/>
      <c r="AD29" s="28"/>
      <c r="AE29" s="27"/>
      <c r="AF29" s="28"/>
      <c r="AG29" s="27"/>
      <c r="AH29" s="28"/>
      <c r="AI29" s="27"/>
      <c r="AJ29" s="28"/>
      <c r="AK29" s="27"/>
      <c r="AL29" s="28"/>
      <c r="AM29" s="27"/>
      <c r="AN29" s="28"/>
      <c r="AO29" s="27"/>
      <c r="AP29" s="28"/>
      <c r="AQ29" s="27"/>
      <c r="AR29" s="28"/>
    </row>
    <row r="30" spans="2:44" ht="18" customHeight="1" x14ac:dyDescent="0.25">
      <c r="B30" s="563" t="s">
        <v>4</v>
      </c>
      <c r="C30" s="569"/>
      <c r="D30" s="31" t="s">
        <v>29</v>
      </c>
      <c r="E30" s="32">
        <v>0</v>
      </c>
      <c r="F30" s="33">
        <v>0</v>
      </c>
      <c r="G30" s="32">
        <v>0</v>
      </c>
      <c r="H30" s="33">
        <v>2</v>
      </c>
      <c r="I30" s="32">
        <v>3</v>
      </c>
      <c r="J30" s="33">
        <v>4</v>
      </c>
      <c r="K30" s="32">
        <v>0</v>
      </c>
      <c r="L30" s="33">
        <v>3</v>
      </c>
      <c r="M30" s="32">
        <v>0</v>
      </c>
      <c r="N30" s="33">
        <v>0</v>
      </c>
      <c r="O30" s="32">
        <v>3</v>
      </c>
      <c r="P30" s="33">
        <v>2</v>
      </c>
      <c r="Q30" s="32">
        <v>1</v>
      </c>
      <c r="R30" s="33">
        <v>3</v>
      </c>
      <c r="S30" s="32">
        <v>1</v>
      </c>
      <c r="T30" s="33">
        <v>2</v>
      </c>
      <c r="U30" s="32">
        <v>0</v>
      </c>
      <c r="V30" s="33">
        <v>1</v>
      </c>
      <c r="W30" s="32">
        <v>1</v>
      </c>
      <c r="X30" s="33">
        <v>0</v>
      </c>
      <c r="Y30" s="32"/>
      <c r="Z30" s="33"/>
      <c r="AA30" s="32"/>
      <c r="AB30" s="33"/>
      <c r="AC30" s="32"/>
      <c r="AD30" s="33"/>
      <c r="AE30" s="32"/>
      <c r="AF30" s="33"/>
      <c r="AG30" s="32"/>
      <c r="AH30" s="33"/>
      <c r="AI30" s="32"/>
      <c r="AJ30" s="33"/>
      <c r="AK30" s="32"/>
      <c r="AL30" s="33"/>
      <c r="AM30" s="32"/>
      <c r="AN30" s="33"/>
      <c r="AO30" s="32"/>
      <c r="AP30" s="33"/>
      <c r="AQ30" s="32"/>
      <c r="AR30" s="33"/>
    </row>
    <row r="31" spans="2:44" ht="18" customHeight="1" x14ac:dyDescent="0.25">
      <c r="B31" s="565"/>
      <c r="C31" s="570"/>
      <c r="D31" s="34" t="s">
        <v>31</v>
      </c>
      <c r="E31" s="35">
        <v>4</v>
      </c>
      <c r="F31" s="36">
        <v>9</v>
      </c>
      <c r="G31" s="35">
        <v>4</v>
      </c>
      <c r="H31" s="36">
        <v>4</v>
      </c>
      <c r="I31" s="35">
        <v>5</v>
      </c>
      <c r="J31" s="36">
        <v>3</v>
      </c>
      <c r="K31" s="35">
        <v>2</v>
      </c>
      <c r="L31" s="36">
        <v>4</v>
      </c>
      <c r="M31" s="35">
        <v>5</v>
      </c>
      <c r="N31" s="36">
        <v>6</v>
      </c>
      <c r="O31" s="35">
        <v>4</v>
      </c>
      <c r="P31" s="36">
        <v>3</v>
      </c>
      <c r="Q31" s="35">
        <v>5</v>
      </c>
      <c r="R31" s="36">
        <v>4</v>
      </c>
      <c r="S31" s="35">
        <v>8</v>
      </c>
      <c r="T31" s="36">
        <v>3</v>
      </c>
      <c r="U31" s="35">
        <v>4</v>
      </c>
      <c r="V31" s="36">
        <v>6</v>
      </c>
      <c r="W31" s="35">
        <v>4</v>
      </c>
      <c r="X31" s="36">
        <v>5</v>
      </c>
      <c r="Y31" s="35"/>
      <c r="Z31" s="36"/>
      <c r="AA31" s="35"/>
      <c r="AB31" s="36"/>
      <c r="AC31" s="35"/>
      <c r="AD31" s="36"/>
      <c r="AE31" s="35"/>
      <c r="AF31" s="36"/>
      <c r="AG31" s="35"/>
      <c r="AH31" s="36"/>
      <c r="AI31" s="35"/>
      <c r="AJ31" s="36"/>
      <c r="AK31" s="35"/>
      <c r="AL31" s="36"/>
      <c r="AM31" s="35"/>
      <c r="AN31" s="36"/>
      <c r="AO31" s="35"/>
      <c r="AP31" s="36"/>
      <c r="AQ31" s="35"/>
      <c r="AR31" s="36"/>
    </row>
    <row r="32" spans="2:44" ht="18" customHeight="1" x14ac:dyDescent="0.25">
      <c r="B32" s="565"/>
      <c r="C32" s="570"/>
      <c r="D32" s="34" t="s">
        <v>30</v>
      </c>
      <c r="E32" s="35">
        <v>4</v>
      </c>
      <c r="F32" s="36">
        <v>5</v>
      </c>
      <c r="G32" s="35">
        <v>8</v>
      </c>
      <c r="H32" s="36">
        <v>4</v>
      </c>
      <c r="I32" s="35">
        <v>4</v>
      </c>
      <c r="J32" s="36">
        <v>5</v>
      </c>
      <c r="K32" s="35">
        <v>12</v>
      </c>
      <c r="L32" s="36">
        <v>8</v>
      </c>
      <c r="M32" s="35">
        <v>3</v>
      </c>
      <c r="N32" s="36">
        <v>4</v>
      </c>
      <c r="O32" s="35">
        <v>4</v>
      </c>
      <c r="P32" s="36">
        <v>4</v>
      </c>
      <c r="Q32" s="35">
        <v>4</v>
      </c>
      <c r="R32" s="36">
        <v>7</v>
      </c>
      <c r="S32" s="35">
        <v>7</v>
      </c>
      <c r="T32" s="36">
        <v>8</v>
      </c>
      <c r="U32" s="35">
        <v>4</v>
      </c>
      <c r="V32" s="36">
        <v>5</v>
      </c>
      <c r="W32" s="35">
        <v>5</v>
      </c>
      <c r="X32" s="36">
        <v>4</v>
      </c>
      <c r="Y32" s="35"/>
      <c r="Z32" s="36"/>
      <c r="AA32" s="35"/>
      <c r="AB32" s="36"/>
      <c r="AC32" s="35"/>
      <c r="AD32" s="36"/>
      <c r="AE32" s="35"/>
      <c r="AF32" s="36"/>
      <c r="AG32" s="35"/>
      <c r="AH32" s="36"/>
      <c r="AI32" s="35"/>
      <c r="AJ32" s="36"/>
      <c r="AK32" s="35"/>
      <c r="AL32" s="36"/>
      <c r="AM32" s="35"/>
      <c r="AN32" s="36"/>
      <c r="AO32" s="35"/>
      <c r="AP32" s="36"/>
      <c r="AQ32" s="35"/>
      <c r="AR32" s="36"/>
    </row>
    <row r="33" spans="2:44" ht="18" customHeight="1" x14ac:dyDescent="0.25">
      <c r="B33" s="565"/>
      <c r="C33" s="570"/>
      <c r="D33" s="398" t="s">
        <v>15</v>
      </c>
      <c r="E33" s="399">
        <v>7</v>
      </c>
      <c r="F33" s="400">
        <v>1</v>
      </c>
      <c r="G33" s="399">
        <v>3</v>
      </c>
      <c r="H33" s="400">
        <v>6</v>
      </c>
      <c r="I33" s="399">
        <v>4</v>
      </c>
      <c r="J33" s="400">
        <v>4</v>
      </c>
      <c r="K33" s="399">
        <v>3</v>
      </c>
      <c r="L33" s="400">
        <v>2</v>
      </c>
      <c r="M33" s="399">
        <v>7</v>
      </c>
      <c r="N33" s="400">
        <v>5</v>
      </c>
      <c r="O33" s="399">
        <v>3</v>
      </c>
      <c r="P33" s="400">
        <v>5</v>
      </c>
      <c r="Q33" s="399">
        <v>5</v>
      </c>
      <c r="R33" s="400">
        <v>4</v>
      </c>
      <c r="S33" s="399">
        <v>2</v>
      </c>
      <c r="T33" s="400">
        <v>5</v>
      </c>
      <c r="U33" s="399">
        <v>7</v>
      </c>
      <c r="V33" s="400">
        <v>3</v>
      </c>
      <c r="W33" s="399">
        <v>3</v>
      </c>
      <c r="X33" s="400">
        <v>6</v>
      </c>
      <c r="Y33" s="399"/>
      <c r="Z33" s="400"/>
      <c r="AA33" s="399"/>
      <c r="AB33" s="400"/>
      <c r="AC33" s="399"/>
      <c r="AD33" s="400"/>
      <c r="AE33" s="399"/>
      <c r="AF33" s="400"/>
      <c r="AG33" s="399"/>
      <c r="AH33" s="400"/>
      <c r="AI33" s="399"/>
      <c r="AJ33" s="400"/>
      <c r="AK33" s="399"/>
      <c r="AL33" s="400"/>
      <c r="AM33" s="399"/>
      <c r="AN33" s="400"/>
      <c r="AO33" s="399"/>
      <c r="AP33" s="400"/>
      <c r="AQ33" s="399"/>
      <c r="AR33" s="400"/>
    </row>
    <row r="34" spans="2:44" ht="18" customHeight="1" thickBot="1" x14ac:dyDescent="0.3">
      <c r="B34" s="567"/>
      <c r="C34" s="571"/>
      <c r="D34" s="37" t="s">
        <v>422</v>
      </c>
      <c r="E34" s="38">
        <f>SUM(E30:E33)</f>
        <v>15</v>
      </c>
      <c r="F34" s="38">
        <f t="shared" ref="F34:AR34" si="47">SUM(F30:F33)</f>
        <v>15</v>
      </c>
      <c r="G34" s="38">
        <f t="shared" si="47"/>
        <v>15</v>
      </c>
      <c r="H34" s="38">
        <f t="shared" si="47"/>
        <v>16</v>
      </c>
      <c r="I34" s="38">
        <f t="shared" si="47"/>
        <v>16</v>
      </c>
      <c r="J34" s="38">
        <f t="shared" si="47"/>
        <v>16</v>
      </c>
      <c r="K34" s="38">
        <f t="shared" si="47"/>
        <v>17</v>
      </c>
      <c r="L34" s="38">
        <f t="shared" si="47"/>
        <v>17</v>
      </c>
      <c r="M34" s="38">
        <f t="shared" si="47"/>
        <v>15</v>
      </c>
      <c r="N34" s="38">
        <f t="shared" si="47"/>
        <v>15</v>
      </c>
      <c r="O34" s="38">
        <f t="shared" si="47"/>
        <v>14</v>
      </c>
      <c r="P34" s="38">
        <f t="shared" si="47"/>
        <v>14</v>
      </c>
      <c r="Q34" s="38">
        <f t="shared" si="47"/>
        <v>15</v>
      </c>
      <c r="R34" s="38">
        <f t="shared" si="47"/>
        <v>18</v>
      </c>
      <c r="S34" s="38">
        <f t="shared" si="47"/>
        <v>18</v>
      </c>
      <c r="T34" s="38">
        <f t="shared" si="47"/>
        <v>18</v>
      </c>
      <c r="U34" s="38">
        <f t="shared" si="47"/>
        <v>15</v>
      </c>
      <c r="V34" s="38">
        <f t="shared" si="47"/>
        <v>15</v>
      </c>
      <c r="W34" s="38">
        <f t="shared" si="47"/>
        <v>13</v>
      </c>
      <c r="X34" s="38">
        <f t="shared" si="47"/>
        <v>15</v>
      </c>
      <c r="Y34" s="38">
        <f t="shared" si="47"/>
        <v>0</v>
      </c>
      <c r="Z34" s="38">
        <f t="shared" si="47"/>
        <v>0</v>
      </c>
      <c r="AA34" s="38">
        <f t="shared" si="47"/>
        <v>0</v>
      </c>
      <c r="AB34" s="38">
        <f t="shared" si="47"/>
        <v>0</v>
      </c>
      <c r="AC34" s="38">
        <f t="shared" si="47"/>
        <v>0</v>
      </c>
      <c r="AD34" s="38">
        <f t="shared" si="47"/>
        <v>0</v>
      </c>
      <c r="AE34" s="38">
        <f t="shared" si="47"/>
        <v>0</v>
      </c>
      <c r="AF34" s="38">
        <f t="shared" si="47"/>
        <v>0</v>
      </c>
      <c r="AG34" s="38">
        <f t="shared" si="47"/>
        <v>0</v>
      </c>
      <c r="AH34" s="38">
        <f t="shared" si="47"/>
        <v>0</v>
      </c>
      <c r="AI34" s="38">
        <f t="shared" si="47"/>
        <v>0</v>
      </c>
      <c r="AJ34" s="38">
        <f t="shared" si="47"/>
        <v>0</v>
      </c>
      <c r="AK34" s="38">
        <f t="shared" si="47"/>
        <v>0</v>
      </c>
      <c r="AL34" s="38">
        <f t="shared" si="47"/>
        <v>0</v>
      </c>
      <c r="AM34" s="38">
        <f t="shared" si="47"/>
        <v>0</v>
      </c>
      <c r="AN34" s="38">
        <f t="shared" si="47"/>
        <v>0</v>
      </c>
      <c r="AO34" s="38">
        <f t="shared" si="47"/>
        <v>0</v>
      </c>
      <c r="AP34" s="38">
        <f t="shared" si="47"/>
        <v>0</v>
      </c>
      <c r="AQ34" s="38">
        <f t="shared" si="47"/>
        <v>0</v>
      </c>
      <c r="AR34" s="38">
        <f t="shared" si="47"/>
        <v>0</v>
      </c>
    </row>
    <row r="35" spans="2:44" ht="18" customHeight="1" x14ac:dyDescent="0.25">
      <c r="B35" s="563" t="s">
        <v>5</v>
      </c>
      <c r="C35" s="569"/>
      <c r="D35" s="230" t="s">
        <v>28</v>
      </c>
      <c r="E35" s="248" t="s">
        <v>515</v>
      </c>
      <c r="F35" s="287" t="s">
        <v>517</v>
      </c>
      <c r="G35" s="248" t="s">
        <v>515</v>
      </c>
      <c r="H35" s="287" t="s">
        <v>516</v>
      </c>
      <c r="I35" s="248" t="s">
        <v>516</v>
      </c>
      <c r="J35" s="287" t="s">
        <v>516</v>
      </c>
      <c r="K35" s="248" t="s">
        <v>515</v>
      </c>
      <c r="L35" s="287" t="s">
        <v>515</v>
      </c>
      <c r="M35" s="248" t="s">
        <v>516</v>
      </c>
      <c r="N35" s="287" t="s">
        <v>516</v>
      </c>
      <c r="O35" s="248" t="s">
        <v>516</v>
      </c>
      <c r="P35" s="287" t="s">
        <v>516</v>
      </c>
      <c r="Q35" s="248" t="s">
        <v>516</v>
      </c>
      <c r="R35" s="287" t="s">
        <v>516</v>
      </c>
      <c r="S35" s="248" t="s">
        <v>516</v>
      </c>
      <c r="T35" s="287" t="s">
        <v>516</v>
      </c>
      <c r="U35" s="248" t="s">
        <v>516</v>
      </c>
      <c r="V35" s="287" t="s">
        <v>516</v>
      </c>
      <c r="W35" s="248" t="s">
        <v>516</v>
      </c>
      <c r="X35" s="287" t="s">
        <v>516</v>
      </c>
      <c r="Y35" s="248"/>
      <c r="Z35" s="287"/>
      <c r="AA35" s="248"/>
      <c r="AB35" s="287"/>
      <c r="AC35" s="248"/>
      <c r="AD35" s="287"/>
      <c r="AE35" s="248"/>
      <c r="AF35" s="287"/>
      <c r="AG35" s="248"/>
      <c r="AH35" s="287"/>
      <c r="AI35" s="248"/>
      <c r="AJ35" s="287"/>
      <c r="AK35" s="248"/>
      <c r="AL35" s="287"/>
      <c r="AM35" s="248"/>
      <c r="AN35" s="287"/>
      <c r="AO35" s="248"/>
      <c r="AP35" s="287"/>
      <c r="AQ35" s="248"/>
      <c r="AR35" s="287"/>
    </row>
    <row r="36" spans="2:44" ht="18" customHeight="1" x14ac:dyDescent="0.25">
      <c r="B36" s="565"/>
      <c r="C36" s="570"/>
      <c r="D36" s="39" t="s">
        <v>27</v>
      </c>
      <c r="E36" s="40" t="s">
        <v>516</v>
      </c>
      <c r="F36" s="41" t="s">
        <v>517</v>
      </c>
      <c r="G36" s="40" t="s">
        <v>515</v>
      </c>
      <c r="H36" s="41" t="s">
        <v>516</v>
      </c>
      <c r="I36" s="40" t="s">
        <v>516</v>
      </c>
      <c r="J36" s="41" t="s">
        <v>516</v>
      </c>
      <c r="K36" s="40" t="s">
        <v>515</v>
      </c>
      <c r="L36" s="41" t="s">
        <v>515</v>
      </c>
      <c r="M36" s="40" t="s">
        <v>516</v>
      </c>
      <c r="N36" s="41" t="s">
        <v>516</v>
      </c>
      <c r="O36" s="40" t="s">
        <v>516</v>
      </c>
      <c r="P36" s="41" t="s">
        <v>516</v>
      </c>
      <c r="Q36" s="40" t="s">
        <v>516</v>
      </c>
      <c r="R36" s="41" t="s">
        <v>516</v>
      </c>
      <c r="S36" s="40" t="s">
        <v>516</v>
      </c>
      <c r="T36" s="41" t="s">
        <v>516</v>
      </c>
      <c r="U36" s="40" t="s">
        <v>516</v>
      </c>
      <c r="V36" s="41" t="s">
        <v>516</v>
      </c>
      <c r="W36" s="40" t="s">
        <v>516</v>
      </c>
      <c r="X36" s="41" t="s">
        <v>516</v>
      </c>
      <c r="Y36" s="40"/>
      <c r="Z36" s="41"/>
      <c r="AA36" s="40"/>
      <c r="AB36" s="41"/>
      <c r="AC36" s="40"/>
      <c r="AD36" s="41"/>
      <c r="AE36" s="40"/>
      <c r="AF36" s="41"/>
      <c r="AG36" s="40"/>
      <c r="AH36" s="41"/>
      <c r="AI36" s="40"/>
      <c r="AJ36" s="41"/>
      <c r="AK36" s="40"/>
      <c r="AL36" s="41"/>
      <c r="AM36" s="40"/>
      <c r="AN36" s="41"/>
      <c r="AO36" s="40"/>
      <c r="AP36" s="41"/>
      <c r="AQ36" s="40"/>
      <c r="AR36" s="41"/>
    </row>
    <row r="37" spans="2:44" ht="18" customHeight="1" x14ac:dyDescent="0.25">
      <c r="B37" s="565"/>
      <c r="C37" s="570"/>
      <c r="D37" s="39" t="s">
        <v>70</v>
      </c>
      <c r="E37" s="40" t="s">
        <v>516</v>
      </c>
      <c r="F37" s="41" t="s">
        <v>517</v>
      </c>
      <c r="G37" s="40" t="s">
        <v>516</v>
      </c>
      <c r="H37" s="41" t="s">
        <v>516</v>
      </c>
      <c r="I37" s="40" t="s">
        <v>516</v>
      </c>
      <c r="J37" s="41" t="s">
        <v>516</v>
      </c>
      <c r="K37" s="40" t="s">
        <v>516</v>
      </c>
      <c r="L37" s="41" t="s">
        <v>516</v>
      </c>
      <c r="M37" s="40" t="s">
        <v>516</v>
      </c>
      <c r="N37" s="41" t="s">
        <v>516</v>
      </c>
      <c r="O37" s="40" t="s">
        <v>516</v>
      </c>
      <c r="P37" s="41" t="s">
        <v>516</v>
      </c>
      <c r="Q37" s="40" t="s">
        <v>516</v>
      </c>
      <c r="R37" s="41" t="s">
        <v>516</v>
      </c>
      <c r="S37" s="40" t="s">
        <v>516</v>
      </c>
      <c r="T37" s="41" t="s">
        <v>516</v>
      </c>
      <c r="U37" s="40" t="s">
        <v>516</v>
      </c>
      <c r="V37" s="41" t="s">
        <v>516</v>
      </c>
      <c r="W37" s="40" t="s">
        <v>516</v>
      </c>
      <c r="X37" s="41" t="s">
        <v>516</v>
      </c>
      <c r="Y37" s="40"/>
      <c r="Z37" s="41"/>
      <c r="AA37" s="40"/>
      <c r="AB37" s="41"/>
      <c r="AC37" s="40"/>
      <c r="AD37" s="41"/>
      <c r="AE37" s="40"/>
      <c r="AF37" s="41"/>
      <c r="AG37" s="40"/>
      <c r="AH37" s="41"/>
      <c r="AI37" s="40"/>
      <c r="AJ37" s="41"/>
      <c r="AK37" s="40"/>
      <c r="AL37" s="41"/>
      <c r="AM37" s="40"/>
      <c r="AN37" s="41"/>
      <c r="AO37" s="40"/>
      <c r="AP37" s="41"/>
      <c r="AQ37" s="40"/>
      <c r="AR37" s="41"/>
    </row>
    <row r="38" spans="2:44" ht="18" customHeight="1" x14ac:dyDescent="0.25">
      <c r="B38" s="565"/>
      <c r="C38" s="570"/>
      <c r="D38" s="39" t="s">
        <v>26</v>
      </c>
      <c r="E38" s="40" t="s">
        <v>516</v>
      </c>
      <c r="F38" s="41" t="s">
        <v>517</v>
      </c>
      <c r="G38" s="40" t="s">
        <v>516</v>
      </c>
      <c r="H38" s="41" t="s">
        <v>516</v>
      </c>
      <c r="I38" s="40" t="s">
        <v>516</v>
      </c>
      <c r="J38" s="41" t="s">
        <v>516</v>
      </c>
      <c r="K38" s="40" t="s">
        <v>516</v>
      </c>
      <c r="L38" s="41" t="s">
        <v>516</v>
      </c>
      <c r="M38" s="40" t="s">
        <v>516</v>
      </c>
      <c r="N38" s="41" t="s">
        <v>516</v>
      </c>
      <c r="O38" s="40" t="s">
        <v>516</v>
      </c>
      <c r="P38" s="41" t="s">
        <v>516</v>
      </c>
      <c r="Q38" s="40" t="s">
        <v>516</v>
      </c>
      <c r="R38" s="41" t="s">
        <v>516</v>
      </c>
      <c r="S38" s="40" t="s">
        <v>516</v>
      </c>
      <c r="T38" s="41" t="s">
        <v>516</v>
      </c>
      <c r="U38" s="40" t="s">
        <v>516</v>
      </c>
      <c r="V38" s="41" t="s">
        <v>516</v>
      </c>
      <c r="W38" s="40" t="s">
        <v>516</v>
      </c>
      <c r="X38" s="41" t="s">
        <v>516</v>
      </c>
      <c r="Y38" s="40"/>
      <c r="Z38" s="41"/>
      <c r="AA38" s="40"/>
      <c r="AB38" s="41"/>
      <c r="AC38" s="40"/>
      <c r="AD38" s="41"/>
      <c r="AE38" s="40"/>
      <c r="AF38" s="41"/>
      <c r="AG38" s="40"/>
      <c r="AH38" s="41"/>
      <c r="AI38" s="40"/>
      <c r="AJ38" s="41"/>
      <c r="AK38" s="40"/>
      <c r="AL38" s="41"/>
      <c r="AM38" s="40"/>
      <c r="AN38" s="41"/>
      <c r="AO38" s="40"/>
      <c r="AP38" s="41"/>
      <c r="AQ38" s="40"/>
      <c r="AR38" s="41"/>
    </row>
    <row r="39" spans="2:44" ht="18" customHeight="1" thickBot="1" x14ac:dyDescent="0.3">
      <c r="B39" s="567"/>
      <c r="C39" s="571"/>
      <c r="D39" s="231" t="s">
        <v>6</v>
      </c>
      <c r="E39" s="42" t="s">
        <v>518</v>
      </c>
      <c r="F39" s="288" t="s">
        <v>518</v>
      </c>
      <c r="G39" s="42" t="s">
        <v>518</v>
      </c>
      <c r="H39" s="288" t="s">
        <v>518</v>
      </c>
      <c r="I39" s="42" t="s">
        <v>518</v>
      </c>
      <c r="J39" s="288" t="s">
        <v>519</v>
      </c>
      <c r="K39" s="42" t="s">
        <v>518</v>
      </c>
      <c r="L39" s="288" t="s">
        <v>518</v>
      </c>
      <c r="M39" s="42" t="s">
        <v>518</v>
      </c>
      <c r="N39" s="288" t="s">
        <v>518</v>
      </c>
      <c r="O39" s="42" t="s">
        <v>518</v>
      </c>
      <c r="P39" s="288" t="s">
        <v>518</v>
      </c>
      <c r="Q39" s="42" t="s">
        <v>518</v>
      </c>
      <c r="R39" s="288" t="s">
        <v>518</v>
      </c>
      <c r="S39" s="42" t="s">
        <v>518</v>
      </c>
      <c r="T39" s="288" t="s">
        <v>518</v>
      </c>
      <c r="U39" s="42" t="s">
        <v>518</v>
      </c>
      <c r="V39" s="288" t="s">
        <v>518</v>
      </c>
      <c r="W39" s="42" t="s">
        <v>518</v>
      </c>
      <c r="X39" s="288" t="s">
        <v>518</v>
      </c>
      <c r="Y39" s="42"/>
      <c r="Z39" s="288"/>
      <c r="AA39" s="42"/>
      <c r="AB39" s="288"/>
      <c r="AC39" s="42"/>
      <c r="AD39" s="288"/>
      <c r="AE39" s="42"/>
      <c r="AF39" s="288"/>
      <c r="AG39" s="42"/>
      <c r="AH39" s="288"/>
      <c r="AI39" s="42"/>
      <c r="AJ39" s="288"/>
      <c r="AK39" s="42"/>
      <c r="AL39" s="288"/>
      <c r="AM39" s="42"/>
      <c r="AN39" s="288"/>
      <c r="AO39" s="42"/>
      <c r="AP39" s="288"/>
      <c r="AQ39" s="42"/>
      <c r="AR39" s="288"/>
    </row>
    <row r="40" spans="2:44" ht="18" customHeight="1" x14ac:dyDescent="0.25">
      <c r="B40" s="563" t="s">
        <v>16</v>
      </c>
      <c r="C40" s="569"/>
      <c r="D40" s="43" t="s">
        <v>324</v>
      </c>
      <c r="E40" s="44" t="s">
        <v>518</v>
      </c>
      <c r="F40" s="44" t="s">
        <v>518</v>
      </c>
      <c r="G40" s="44" t="s">
        <v>518</v>
      </c>
      <c r="H40" s="44" t="s">
        <v>518</v>
      </c>
      <c r="I40" s="44" t="s">
        <v>518</v>
      </c>
      <c r="J40" s="44" t="s">
        <v>518</v>
      </c>
      <c r="K40" s="44" t="s">
        <v>518</v>
      </c>
      <c r="L40" s="44" t="s">
        <v>518</v>
      </c>
      <c r="M40" s="44" t="s">
        <v>518</v>
      </c>
      <c r="N40" s="44" t="s">
        <v>518</v>
      </c>
      <c r="O40" s="44" t="s">
        <v>518</v>
      </c>
      <c r="P40" s="44" t="s">
        <v>518</v>
      </c>
      <c r="Q40" s="44" t="s">
        <v>518</v>
      </c>
      <c r="R40" s="44" t="s">
        <v>518</v>
      </c>
      <c r="S40" s="44" t="s">
        <v>518</v>
      </c>
      <c r="T40" s="45" t="s">
        <v>518</v>
      </c>
      <c r="U40" s="44" t="s">
        <v>518</v>
      </c>
      <c r="V40" s="45" t="s">
        <v>518</v>
      </c>
      <c r="W40" s="44" t="s">
        <v>518</v>
      </c>
      <c r="X40" s="45" t="s">
        <v>518</v>
      </c>
      <c r="Y40" s="44"/>
      <c r="Z40" s="45"/>
      <c r="AA40" s="44"/>
      <c r="AB40" s="45"/>
      <c r="AC40" s="44"/>
      <c r="AD40" s="45"/>
      <c r="AE40" s="44"/>
      <c r="AF40" s="45"/>
      <c r="AG40" s="44"/>
      <c r="AH40" s="45"/>
      <c r="AI40" s="44"/>
      <c r="AJ40" s="45"/>
      <c r="AK40" s="44"/>
      <c r="AL40" s="45"/>
      <c r="AM40" s="44"/>
      <c r="AN40" s="45"/>
      <c r="AO40" s="44"/>
      <c r="AP40" s="45"/>
      <c r="AQ40" s="44"/>
      <c r="AR40" s="45"/>
    </row>
    <row r="41" spans="2:44" ht="18" customHeight="1" x14ac:dyDescent="0.25">
      <c r="B41" s="565"/>
      <c r="C41" s="570"/>
      <c r="D41" s="46" t="s">
        <v>111</v>
      </c>
      <c r="E41" s="47" t="s">
        <v>520</v>
      </c>
      <c r="F41" s="47" t="s">
        <v>520</v>
      </c>
      <c r="G41" s="47" t="s">
        <v>520</v>
      </c>
      <c r="H41" s="47" t="s">
        <v>520</v>
      </c>
      <c r="I41" s="47" t="s">
        <v>520</v>
      </c>
      <c r="J41" s="47" t="s">
        <v>520</v>
      </c>
      <c r="K41" s="47" t="s">
        <v>520</v>
      </c>
      <c r="L41" s="47" t="s">
        <v>520</v>
      </c>
      <c r="M41" s="47" t="s">
        <v>520</v>
      </c>
      <c r="N41" s="47" t="s">
        <v>520</v>
      </c>
      <c r="O41" s="47" t="s">
        <v>520</v>
      </c>
      <c r="P41" s="47" t="s">
        <v>520</v>
      </c>
      <c r="Q41" s="47" t="s">
        <v>520</v>
      </c>
      <c r="R41" s="47" t="s">
        <v>520</v>
      </c>
      <c r="S41" s="47" t="s">
        <v>520</v>
      </c>
      <c r="T41" s="48" t="s">
        <v>520</v>
      </c>
      <c r="U41" s="47" t="s">
        <v>520</v>
      </c>
      <c r="V41" s="48" t="s">
        <v>520</v>
      </c>
      <c r="W41" s="47" t="s">
        <v>520</v>
      </c>
      <c r="X41" s="48" t="s">
        <v>520</v>
      </c>
      <c r="Y41" s="47"/>
      <c r="Z41" s="48"/>
      <c r="AA41" s="47"/>
      <c r="AB41" s="48"/>
      <c r="AC41" s="47"/>
      <c r="AD41" s="48"/>
      <c r="AE41" s="47"/>
      <c r="AF41" s="48"/>
      <c r="AG41" s="47"/>
      <c r="AH41" s="48"/>
      <c r="AI41" s="47"/>
      <c r="AJ41" s="48"/>
      <c r="AK41" s="47"/>
      <c r="AL41" s="48"/>
      <c r="AM41" s="47"/>
      <c r="AN41" s="48"/>
      <c r="AO41" s="47"/>
      <c r="AP41" s="48"/>
      <c r="AQ41" s="47"/>
      <c r="AR41" s="48"/>
    </row>
    <row r="42" spans="2:44" ht="18" customHeight="1" x14ac:dyDescent="0.25">
      <c r="B42" s="565"/>
      <c r="C42" s="570"/>
      <c r="D42" s="46" t="s">
        <v>57</v>
      </c>
      <c r="E42" s="47" t="s">
        <v>521</v>
      </c>
      <c r="F42" s="47" t="s">
        <v>521</v>
      </c>
      <c r="G42" s="47" t="s">
        <v>521</v>
      </c>
      <c r="H42" s="47" t="s">
        <v>521</v>
      </c>
      <c r="I42" s="47" t="s">
        <v>521</v>
      </c>
      <c r="J42" s="47" t="s">
        <v>521</v>
      </c>
      <c r="K42" s="47" t="s">
        <v>521</v>
      </c>
      <c r="L42" s="47" t="s">
        <v>521</v>
      </c>
      <c r="M42" s="47" t="s">
        <v>521</v>
      </c>
      <c r="N42" s="47" t="s">
        <v>521</v>
      </c>
      <c r="O42" s="47" t="s">
        <v>521</v>
      </c>
      <c r="P42" s="47" t="s">
        <v>521</v>
      </c>
      <c r="Q42" s="47" t="s">
        <v>521</v>
      </c>
      <c r="R42" s="47" t="s">
        <v>521</v>
      </c>
      <c r="S42" s="47" t="s">
        <v>521</v>
      </c>
      <c r="T42" s="48" t="s">
        <v>521</v>
      </c>
      <c r="U42" s="47" t="s">
        <v>521</v>
      </c>
      <c r="V42" s="48" t="s">
        <v>521</v>
      </c>
      <c r="W42" s="47" t="s">
        <v>521</v>
      </c>
      <c r="X42" s="48" t="s">
        <v>521</v>
      </c>
      <c r="Y42" s="47"/>
      <c r="Z42" s="48"/>
      <c r="AA42" s="47"/>
      <c r="AB42" s="48"/>
      <c r="AC42" s="47"/>
      <c r="AD42" s="48"/>
      <c r="AE42" s="47"/>
      <c r="AF42" s="48"/>
      <c r="AG42" s="47"/>
      <c r="AH42" s="48"/>
      <c r="AI42" s="47"/>
      <c r="AJ42" s="48"/>
      <c r="AK42" s="47"/>
      <c r="AL42" s="48"/>
      <c r="AM42" s="47"/>
      <c r="AN42" s="48"/>
      <c r="AO42" s="47"/>
      <c r="AP42" s="48"/>
      <c r="AQ42" s="47"/>
      <c r="AR42" s="48"/>
    </row>
    <row r="43" spans="2:44" ht="18" customHeight="1" x14ac:dyDescent="0.25">
      <c r="B43" s="565"/>
      <c r="C43" s="570"/>
      <c r="D43" s="46" t="s">
        <v>112</v>
      </c>
      <c r="E43" s="47">
        <v>1</v>
      </c>
      <c r="F43" s="48"/>
      <c r="G43" s="47">
        <v>1</v>
      </c>
      <c r="H43" s="48"/>
      <c r="I43" s="47"/>
      <c r="J43" s="48"/>
      <c r="K43" s="47"/>
      <c r="L43" s="48"/>
      <c r="M43" s="47"/>
      <c r="N43" s="48"/>
      <c r="O43" s="47"/>
      <c r="P43" s="48"/>
      <c r="Q43" s="47"/>
      <c r="R43" s="48"/>
      <c r="S43" s="47"/>
      <c r="T43" s="48"/>
      <c r="U43" s="47"/>
      <c r="V43" s="48"/>
      <c r="W43" s="47"/>
      <c r="X43" s="48"/>
      <c r="Y43" s="47"/>
      <c r="Z43" s="48"/>
      <c r="AA43" s="47"/>
      <c r="AB43" s="48"/>
      <c r="AC43" s="47"/>
      <c r="AD43" s="48"/>
      <c r="AE43" s="47"/>
      <c r="AF43" s="48"/>
      <c r="AG43" s="47"/>
      <c r="AH43" s="48"/>
      <c r="AI43" s="47"/>
      <c r="AJ43" s="48"/>
      <c r="AK43" s="47"/>
      <c r="AL43" s="48"/>
      <c r="AM43" s="47"/>
      <c r="AN43" s="48"/>
      <c r="AO43" s="47"/>
      <c r="AP43" s="48"/>
      <c r="AQ43" s="47"/>
      <c r="AR43" s="48"/>
    </row>
    <row r="44" spans="2:44" ht="18" customHeight="1" x14ac:dyDescent="0.25">
      <c r="B44" s="565"/>
      <c r="C44" s="570"/>
      <c r="D44" s="46" t="s">
        <v>17</v>
      </c>
      <c r="E44" s="47" t="s">
        <v>522</v>
      </c>
      <c r="F44" s="47" t="s">
        <v>522</v>
      </c>
      <c r="G44" s="47" t="s">
        <v>522</v>
      </c>
      <c r="H44" s="47" t="s">
        <v>522</v>
      </c>
      <c r="I44" s="47" t="s">
        <v>522</v>
      </c>
      <c r="J44" s="47" t="s">
        <v>522</v>
      </c>
      <c r="K44" s="47" t="s">
        <v>522</v>
      </c>
      <c r="L44" s="47" t="s">
        <v>522</v>
      </c>
      <c r="M44" s="47" t="s">
        <v>522</v>
      </c>
      <c r="N44" s="47" t="s">
        <v>522</v>
      </c>
      <c r="O44" s="47" t="s">
        <v>522</v>
      </c>
      <c r="P44" s="47" t="s">
        <v>522</v>
      </c>
      <c r="Q44" s="47" t="s">
        <v>522</v>
      </c>
      <c r="R44" s="47" t="s">
        <v>522</v>
      </c>
      <c r="S44" s="47" t="s">
        <v>522</v>
      </c>
      <c r="T44" s="48" t="s">
        <v>522</v>
      </c>
      <c r="U44" s="47" t="s">
        <v>522</v>
      </c>
      <c r="V44" s="48" t="s">
        <v>522</v>
      </c>
      <c r="W44" s="47" t="s">
        <v>522</v>
      </c>
      <c r="X44" s="48" t="s">
        <v>522</v>
      </c>
      <c r="Y44" s="47"/>
      <c r="Z44" s="48"/>
      <c r="AA44" s="47"/>
      <c r="AB44" s="48"/>
      <c r="AC44" s="47"/>
      <c r="AD44" s="48"/>
      <c r="AE44" s="47"/>
      <c r="AF44" s="48"/>
      <c r="AG44" s="47"/>
      <c r="AH44" s="48"/>
      <c r="AI44" s="47"/>
      <c r="AJ44" s="48"/>
      <c r="AK44" s="47"/>
      <c r="AL44" s="48"/>
      <c r="AM44" s="47"/>
      <c r="AN44" s="48"/>
      <c r="AO44" s="47"/>
      <c r="AP44" s="48"/>
      <c r="AQ44" s="47"/>
      <c r="AR44" s="48"/>
    </row>
    <row r="45" spans="2:44" ht="18" customHeight="1" x14ac:dyDescent="0.25">
      <c r="B45" s="565"/>
      <c r="C45" s="570"/>
      <c r="D45" s="46" t="s">
        <v>7</v>
      </c>
      <c r="E45" s="47" t="s">
        <v>523</v>
      </c>
      <c r="F45" s="47" t="s">
        <v>523</v>
      </c>
      <c r="G45" s="47" t="s">
        <v>523</v>
      </c>
      <c r="H45" s="47" t="s">
        <v>523</v>
      </c>
      <c r="I45" s="47" t="s">
        <v>523</v>
      </c>
      <c r="J45" s="47" t="s">
        <v>523</v>
      </c>
      <c r="K45" s="47" t="s">
        <v>523</v>
      </c>
      <c r="L45" s="47" t="s">
        <v>523</v>
      </c>
      <c r="M45" s="47" t="s">
        <v>523</v>
      </c>
      <c r="N45" s="47" t="s">
        <v>523</v>
      </c>
      <c r="O45" s="47" t="s">
        <v>523</v>
      </c>
      <c r="P45" s="47" t="s">
        <v>523</v>
      </c>
      <c r="Q45" s="47" t="s">
        <v>523</v>
      </c>
      <c r="R45" s="47" t="s">
        <v>523</v>
      </c>
      <c r="S45" s="47" t="s">
        <v>523</v>
      </c>
      <c r="T45" s="48" t="s">
        <v>523</v>
      </c>
      <c r="U45" s="47" t="s">
        <v>523</v>
      </c>
      <c r="V45" s="48" t="s">
        <v>523</v>
      </c>
      <c r="W45" s="47" t="s">
        <v>523</v>
      </c>
      <c r="X45" s="48" t="s">
        <v>523</v>
      </c>
      <c r="Y45" s="47"/>
      <c r="Z45" s="48"/>
      <c r="AA45" s="47"/>
      <c r="AB45" s="48"/>
      <c r="AC45" s="47"/>
      <c r="AD45" s="48"/>
      <c r="AE45" s="47"/>
      <c r="AF45" s="48"/>
      <c r="AG45" s="47"/>
      <c r="AH45" s="48"/>
      <c r="AI45" s="47"/>
      <c r="AJ45" s="48"/>
      <c r="AK45" s="47"/>
      <c r="AL45" s="48"/>
      <c r="AM45" s="47"/>
      <c r="AN45" s="48"/>
      <c r="AO45" s="47"/>
      <c r="AP45" s="48"/>
      <c r="AQ45" s="47"/>
      <c r="AR45" s="48"/>
    </row>
    <row r="46" spans="2:44" ht="18" customHeight="1" x14ac:dyDescent="0.25">
      <c r="B46" s="565"/>
      <c r="C46" s="570"/>
      <c r="D46" s="46" t="s">
        <v>113</v>
      </c>
      <c r="E46" s="47" t="s">
        <v>524</v>
      </c>
      <c r="F46" s="48" t="s">
        <v>525</v>
      </c>
      <c r="G46" s="47" t="s">
        <v>526</v>
      </c>
      <c r="H46" s="48" t="s">
        <v>527</v>
      </c>
      <c r="I46" s="47" t="s">
        <v>528</v>
      </c>
      <c r="J46" s="48" t="s">
        <v>529</v>
      </c>
      <c r="K46" s="47" t="s">
        <v>530</v>
      </c>
      <c r="L46" s="48">
        <v>27</v>
      </c>
      <c r="M46" s="47">
        <v>28</v>
      </c>
      <c r="N46" s="48">
        <v>26</v>
      </c>
      <c r="O46" s="47">
        <v>29</v>
      </c>
      <c r="P46" s="48">
        <v>28</v>
      </c>
      <c r="Q46" s="47" t="s">
        <v>527</v>
      </c>
      <c r="R46" s="48">
        <v>26</v>
      </c>
      <c r="S46" s="47">
        <v>27</v>
      </c>
      <c r="T46" s="48">
        <v>29</v>
      </c>
      <c r="U46" s="47">
        <v>28</v>
      </c>
      <c r="V46" s="48">
        <v>28</v>
      </c>
      <c r="W46" s="47">
        <v>29</v>
      </c>
      <c r="X46" s="48">
        <v>29</v>
      </c>
      <c r="Y46" s="47"/>
      <c r="Z46" s="48"/>
      <c r="AA46" s="47"/>
      <c r="AB46" s="48"/>
      <c r="AC46" s="47"/>
      <c r="AD46" s="48"/>
      <c r="AE46" s="47"/>
      <c r="AF46" s="48"/>
      <c r="AG46" s="47"/>
      <c r="AH46" s="48"/>
      <c r="AI46" s="47"/>
      <c r="AJ46" s="48"/>
      <c r="AK46" s="47"/>
      <c r="AL46" s="48"/>
      <c r="AM46" s="47"/>
      <c r="AN46" s="48"/>
      <c r="AO46" s="47"/>
      <c r="AP46" s="48"/>
      <c r="AQ46" s="47"/>
      <c r="AR46" s="48"/>
    </row>
    <row r="47" spans="2:44" ht="18" customHeight="1" x14ac:dyDescent="0.25">
      <c r="B47" s="565"/>
      <c r="C47" s="570"/>
      <c r="D47" s="46" t="s">
        <v>18</v>
      </c>
      <c r="E47" s="47" t="s">
        <v>531</v>
      </c>
      <c r="F47" s="47" t="s">
        <v>531</v>
      </c>
      <c r="G47" s="47" t="s">
        <v>531</v>
      </c>
      <c r="H47" s="47" t="s">
        <v>531</v>
      </c>
      <c r="I47" s="47" t="s">
        <v>531</v>
      </c>
      <c r="J47" s="47" t="s">
        <v>531</v>
      </c>
      <c r="K47" s="47" t="s">
        <v>531</v>
      </c>
      <c r="L47" s="47" t="s">
        <v>531</v>
      </c>
      <c r="M47" s="47" t="s">
        <v>531</v>
      </c>
      <c r="N47" s="47" t="s">
        <v>531</v>
      </c>
      <c r="O47" s="47" t="s">
        <v>531</v>
      </c>
      <c r="P47" s="47" t="s">
        <v>531</v>
      </c>
      <c r="Q47" s="47" t="s">
        <v>531</v>
      </c>
      <c r="R47" s="47" t="s">
        <v>531</v>
      </c>
      <c r="S47" s="47" t="s">
        <v>531</v>
      </c>
      <c r="T47" s="48" t="s">
        <v>531</v>
      </c>
      <c r="U47" s="47" t="s">
        <v>589</v>
      </c>
      <c r="V47" s="48" t="s">
        <v>589</v>
      </c>
      <c r="W47" s="47" t="s">
        <v>589</v>
      </c>
      <c r="X47" s="48" t="s">
        <v>589</v>
      </c>
      <c r="Y47" s="47"/>
      <c r="Z47" s="48"/>
      <c r="AA47" s="47"/>
      <c r="AB47" s="48"/>
      <c r="AC47" s="47"/>
      <c r="AD47" s="48"/>
      <c r="AE47" s="47"/>
      <c r="AF47" s="48"/>
      <c r="AG47" s="47"/>
      <c r="AH47" s="48"/>
      <c r="AI47" s="47"/>
      <c r="AJ47" s="48"/>
      <c r="AK47" s="47"/>
      <c r="AL47" s="48"/>
      <c r="AM47" s="47"/>
      <c r="AN47" s="48"/>
      <c r="AO47" s="47"/>
      <c r="AP47" s="48"/>
      <c r="AQ47" s="47"/>
      <c r="AR47" s="48"/>
    </row>
    <row r="48" spans="2:44" ht="18" customHeight="1" thickBot="1" x14ac:dyDescent="0.3">
      <c r="B48" s="565"/>
      <c r="C48" s="570"/>
      <c r="D48" s="49" t="s">
        <v>19</v>
      </c>
      <c r="E48" s="249" t="s">
        <v>532</v>
      </c>
      <c r="F48" s="249" t="s">
        <v>532</v>
      </c>
      <c r="G48" s="249" t="s">
        <v>532</v>
      </c>
      <c r="H48" s="249" t="s">
        <v>532</v>
      </c>
      <c r="I48" s="249" t="s">
        <v>532</v>
      </c>
      <c r="J48" s="249" t="s">
        <v>532</v>
      </c>
      <c r="K48" s="249" t="s">
        <v>532</v>
      </c>
      <c r="L48" s="249" t="s">
        <v>532</v>
      </c>
      <c r="M48" s="249" t="s">
        <v>532</v>
      </c>
      <c r="N48" s="249" t="s">
        <v>532</v>
      </c>
      <c r="O48" s="249" t="s">
        <v>532</v>
      </c>
      <c r="P48" s="249" t="s">
        <v>532</v>
      </c>
      <c r="Q48" s="249" t="s">
        <v>532</v>
      </c>
      <c r="R48" s="249" t="s">
        <v>532</v>
      </c>
      <c r="S48" s="249" t="s">
        <v>532</v>
      </c>
      <c r="T48" s="289" t="s">
        <v>532</v>
      </c>
      <c r="U48" s="249" t="s">
        <v>532</v>
      </c>
      <c r="V48" s="289" t="s">
        <v>532</v>
      </c>
      <c r="W48" s="249" t="s">
        <v>532</v>
      </c>
      <c r="X48" s="289" t="s">
        <v>532</v>
      </c>
      <c r="Y48" s="249"/>
      <c r="Z48" s="289"/>
      <c r="AA48" s="249"/>
      <c r="AB48" s="289"/>
      <c r="AC48" s="249"/>
      <c r="AD48" s="289"/>
      <c r="AE48" s="249"/>
      <c r="AF48" s="289"/>
      <c r="AG48" s="249"/>
      <c r="AH48" s="289"/>
      <c r="AI48" s="249"/>
      <c r="AJ48" s="289"/>
      <c r="AK48" s="249"/>
      <c r="AL48" s="289"/>
      <c r="AM48" s="249"/>
      <c r="AN48" s="289"/>
      <c r="AO48" s="249"/>
      <c r="AP48" s="289"/>
      <c r="AQ48" s="249"/>
      <c r="AR48" s="289"/>
    </row>
    <row r="49" spans="1:44" ht="18" customHeight="1" x14ac:dyDescent="0.25">
      <c r="B49" s="563" t="s">
        <v>115</v>
      </c>
      <c r="C49" s="569"/>
      <c r="D49" s="68" t="s">
        <v>114</v>
      </c>
      <c r="E49" s="250" t="s">
        <v>521</v>
      </c>
      <c r="F49" s="250" t="s">
        <v>521</v>
      </c>
      <c r="G49" s="250" t="s">
        <v>521</v>
      </c>
      <c r="H49" s="250" t="s">
        <v>521</v>
      </c>
      <c r="I49" s="250" t="s">
        <v>521</v>
      </c>
      <c r="J49" s="250" t="s">
        <v>521</v>
      </c>
      <c r="K49" s="250" t="s">
        <v>521</v>
      </c>
      <c r="L49" s="250" t="s">
        <v>521</v>
      </c>
      <c r="M49" s="250" t="s">
        <v>521</v>
      </c>
      <c r="N49" s="250" t="s">
        <v>521</v>
      </c>
      <c r="O49" s="250" t="s">
        <v>521</v>
      </c>
      <c r="P49" s="250" t="s">
        <v>521</v>
      </c>
      <c r="Q49" s="250" t="s">
        <v>521</v>
      </c>
      <c r="R49" s="250" t="s">
        <v>521</v>
      </c>
      <c r="S49" s="250" t="s">
        <v>521</v>
      </c>
      <c r="T49" s="290" t="s">
        <v>521</v>
      </c>
      <c r="U49" s="250" t="s">
        <v>521</v>
      </c>
      <c r="V49" s="290" t="s">
        <v>521</v>
      </c>
      <c r="W49" s="250" t="s">
        <v>521</v>
      </c>
      <c r="X49" s="290" t="s">
        <v>521</v>
      </c>
      <c r="Y49" s="250"/>
      <c r="Z49" s="290"/>
      <c r="AA49" s="250"/>
      <c r="AB49" s="290"/>
      <c r="AC49" s="250"/>
      <c r="AD49" s="290"/>
      <c r="AE49" s="250"/>
      <c r="AF49" s="290"/>
      <c r="AG49" s="250"/>
      <c r="AH49" s="290"/>
      <c r="AI49" s="250"/>
      <c r="AJ49" s="290"/>
      <c r="AK49" s="250"/>
      <c r="AL49" s="290"/>
      <c r="AM49" s="250"/>
      <c r="AN49" s="290"/>
      <c r="AO49" s="250"/>
      <c r="AP49" s="290"/>
      <c r="AQ49" s="250"/>
      <c r="AR49" s="290"/>
    </row>
    <row r="50" spans="1:44" ht="18" customHeight="1" x14ac:dyDescent="0.25">
      <c r="B50" s="565"/>
      <c r="C50" s="570"/>
      <c r="D50" s="29" t="s">
        <v>63</v>
      </c>
      <c r="E50" s="236">
        <v>200000</v>
      </c>
      <c r="F50" s="291">
        <v>150000</v>
      </c>
      <c r="G50" s="236">
        <v>200000</v>
      </c>
      <c r="H50" s="291">
        <v>100000</v>
      </c>
      <c r="I50" s="236">
        <v>100000</v>
      </c>
      <c r="J50" s="291">
        <v>100000</v>
      </c>
      <c r="K50" s="236">
        <v>100000</v>
      </c>
      <c r="L50" s="291">
        <v>100000</v>
      </c>
      <c r="M50" s="236">
        <v>100000</v>
      </c>
      <c r="N50" s="291">
        <v>150000</v>
      </c>
      <c r="O50" s="236">
        <v>100000</v>
      </c>
      <c r="P50" s="291">
        <v>100000</v>
      </c>
      <c r="Q50" s="236">
        <v>200000</v>
      </c>
      <c r="R50" s="291">
        <v>200000</v>
      </c>
      <c r="S50" s="236">
        <v>100000</v>
      </c>
      <c r="T50" s="291">
        <v>100000</v>
      </c>
      <c r="U50" s="236">
        <v>100000</v>
      </c>
      <c r="V50" s="291">
        <v>100000</v>
      </c>
      <c r="W50" s="236">
        <v>100000</v>
      </c>
      <c r="X50" s="291">
        <v>100000</v>
      </c>
      <c r="Y50" s="236"/>
      <c r="Z50" s="291"/>
      <c r="AA50" s="236"/>
      <c r="AB50" s="291"/>
      <c r="AC50" s="236"/>
      <c r="AD50" s="291"/>
      <c r="AE50" s="236"/>
      <c r="AF50" s="291"/>
      <c r="AG50" s="236"/>
      <c r="AH50" s="291"/>
      <c r="AI50" s="236"/>
      <c r="AJ50" s="291"/>
      <c r="AK50" s="236"/>
      <c r="AL50" s="291"/>
      <c r="AM50" s="236"/>
      <c r="AN50" s="291"/>
      <c r="AO50" s="236"/>
      <c r="AP50" s="291"/>
      <c r="AQ50" s="236"/>
      <c r="AR50" s="291"/>
    </row>
    <row r="51" spans="1:44" ht="18" customHeight="1" x14ac:dyDescent="0.25">
      <c r="B51" s="565"/>
      <c r="C51" s="570"/>
      <c r="D51" s="29" t="s">
        <v>34</v>
      </c>
      <c r="E51" s="236">
        <v>71200000</v>
      </c>
      <c r="F51" s="291">
        <v>56750000</v>
      </c>
      <c r="G51" s="236">
        <v>94800000</v>
      </c>
      <c r="H51" s="291">
        <v>32000000</v>
      </c>
      <c r="I51" s="236">
        <v>14200000</v>
      </c>
      <c r="J51" s="291">
        <v>14800000</v>
      </c>
      <c r="K51" s="236">
        <v>29300000</v>
      </c>
      <c r="L51" s="291">
        <v>51600000</v>
      </c>
      <c r="M51" s="236">
        <v>38900000</v>
      </c>
      <c r="N51" s="291">
        <v>41750000</v>
      </c>
      <c r="O51" s="236">
        <v>24000000</v>
      </c>
      <c r="P51" s="291">
        <v>26600000</v>
      </c>
      <c r="Q51" s="236">
        <v>78000000</v>
      </c>
      <c r="R51" s="291">
        <v>32800000</v>
      </c>
      <c r="S51" s="236">
        <v>9700000</v>
      </c>
      <c r="T51" s="291">
        <v>3200000</v>
      </c>
      <c r="U51" s="236">
        <v>1500000</v>
      </c>
      <c r="V51" s="291">
        <v>1500000</v>
      </c>
      <c r="W51" s="236">
        <v>130000</v>
      </c>
      <c r="X51" s="291">
        <v>1500000</v>
      </c>
      <c r="Y51" s="236"/>
      <c r="Z51" s="291"/>
      <c r="AA51" s="236"/>
      <c r="AB51" s="291"/>
      <c r="AC51" s="236"/>
      <c r="AD51" s="291"/>
      <c r="AE51" s="236"/>
      <c r="AF51" s="291"/>
      <c r="AG51" s="236"/>
      <c r="AH51" s="291"/>
      <c r="AI51" s="236"/>
      <c r="AJ51" s="291"/>
      <c r="AK51" s="236"/>
      <c r="AL51" s="291"/>
      <c r="AM51" s="236"/>
      <c r="AN51" s="291"/>
      <c r="AO51" s="236"/>
      <c r="AP51" s="291"/>
      <c r="AQ51" s="236"/>
      <c r="AR51" s="291"/>
    </row>
    <row r="52" spans="1:44" ht="18" customHeight="1" x14ac:dyDescent="0.25">
      <c r="B52" s="565"/>
      <c r="C52" s="570"/>
      <c r="D52" s="29" t="s">
        <v>116</v>
      </c>
      <c r="E52" s="236">
        <v>1700000</v>
      </c>
      <c r="F52" s="291">
        <v>1700000</v>
      </c>
      <c r="G52" s="236">
        <v>310000</v>
      </c>
      <c r="H52" s="291">
        <v>320000</v>
      </c>
      <c r="I52" s="236">
        <v>850000</v>
      </c>
      <c r="J52" s="291">
        <v>320000</v>
      </c>
      <c r="K52" s="236">
        <v>340000</v>
      </c>
      <c r="L52" s="291">
        <v>1700000</v>
      </c>
      <c r="M52" s="236">
        <v>300000</v>
      </c>
      <c r="N52" s="291">
        <v>700000</v>
      </c>
      <c r="O52" s="236">
        <v>300000</v>
      </c>
      <c r="P52" s="291">
        <v>750000</v>
      </c>
      <c r="Q52" s="236">
        <v>150000</v>
      </c>
      <c r="R52" s="291">
        <v>900000</v>
      </c>
      <c r="S52" s="236">
        <v>130000</v>
      </c>
      <c r="T52" s="291">
        <v>800000</v>
      </c>
      <c r="U52" s="236">
        <v>150000</v>
      </c>
      <c r="V52" s="291">
        <v>150000</v>
      </c>
      <c r="W52" s="236">
        <v>130000</v>
      </c>
      <c r="X52" s="291">
        <v>150000</v>
      </c>
      <c r="Y52" s="236"/>
      <c r="Z52" s="291"/>
      <c r="AA52" s="236"/>
      <c r="AB52" s="291"/>
      <c r="AC52" s="236"/>
      <c r="AD52" s="291"/>
      <c r="AE52" s="236"/>
      <c r="AF52" s="291"/>
      <c r="AG52" s="236"/>
      <c r="AH52" s="291"/>
      <c r="AI52" s="236"/>
      <c r="AJ52" s="291"/>
      <c r="AK52" s="236"/>
      <c r="AL52" s="291"/>
      <c r="AM52" s="236"/>
      <c r="AN52" s="291"/>
      <c r="AO52" s="236"/>
      <c r="AP52" s="291"/>
      <c r="AQ52" s="236"/>
      <c r="AR52" s="291"/>
    </row>
    <row r="53" spans="1:44" ht="18.75" customHeight="1" x14ac:dyDescent="0.25">
      <c r="B53" s="565"/>
      <c r="C53" s="570"/>
      <c r="D53" s="29" t="s">
        <v>117</v>
      </c>
      <c r="E53" s="236">
        <v>10</v>
      </c>
      <c r="F53" s="236">
        <v>10</v>
      </c>
      <c r="G53" s="236">
        <v>10</v>
      </c>
      <c r="H53" s="236">
        <v>10</v>
      </c>
      <c r="I53" s="236">
        <v>10</v>
      </c>
      <c r="J53" s="236">
        <v>10</v>
      </c>
      <c r="K53" s="236">
        <v>10</v>
      </c>
      <c r="L53" s="236">
        <v>10</v>
      </c>
      <c r="M53" s="236">
        <v>10</v>
      </c>
      <c r="N53" s="236">
        <v>10</v>
      </c>
      <c r="O53" s="236">
        <v>10</v>
      </c>
      <c r="P53" s="236">
        <v>10</v>
      </c>
      <c r="Q53" s="236">
        <v>10</v>
      </c>
      <c r="R53" s="236">
        <v>10</v>
      </c>
      <c r="S53" s="236">
        <v>10</v>
      </c>
      <c r="T53" s="291">
        <v>10</v>
      </c>
      <c r="U53" s="236">
        <v>10</v>
      </c>
      <c r="V53" s="291">
        <v>10</v>
      </c>
      <c r="W53" s="236">
        <v>10</v>
      </c>
      <c r="X53" s="291">
        <v>10</v>
      </c>
      <c r="Y53" s="236"/>
      <c r="Z53" s="291"/>
      <c r="AA53" s="236"/>
      <c r="AB53" s="291"/>
      <c r="AC53" s="236"/>
      <c r="AD53" s="291"/>
      <c r="AE53" s="236"/>
      <c r="AF53" s="291"/>
      <c r="AG53" s="236"/>
      <c r="AH53" s="291"/>
      <c r="AI53" s="236"/>
      <c r="AJ53" s="291"/>
      <c r="AK53" s="236"/>
      <c r="AL53" s="291"/>
      <c r="AM53" s="236"/>
      <c r="AN53" s="291"/>
      <c r="AO53" s="236"/>
      <c r="AP53" s="291"/>
      <c r="AQ53" s="236"/>
      <c r="AR53" s="291"/>
    </row>
    <row r="54" spans="1:44" ht="18.75" customHeight="1" x14ac:dyDescent="0.25">
      <c r="B54" s="565"/>
      <c r="C54" s="570"/>
      <c r="D54" s="29" t="s">
        <v>118</v>
      </c>
      <c r="E54" s="236">
        <v>183214</v>
      </c>
      <c r="F54" s="291">
        <v>152000</v>
      </c>
      <c r="G54" s="236">
        <v>1319000</v>
      </c>
      <c r="H54" s="291">
        <v>250000</v>
      </c>
      <c r="I54" s="236">
        <v>0</v>
      </c>
      <c r="J54" s="291"/>
      <c r="K54" s="236">
        <v>117998</v>
      </c>
      <c r="L54" s="291"/>
      <c r="M54" s="236">
        <v>78000</v>
      </c>
      <c r="N54" s="291">
        <v>83495</v>
      </c>
      <c r="O54" s="236">
        <v>1233000</v>
      </c>
      <c r="P54" s="291">
        <v>50000</v>
      </c>
      <c r="Q54" s="236">
        <v>237023</v>
      </c>
      <c r="R54" s="291">
        <v>700000</v>
      </c>
      <c r="S54" s="236"/>
      <c r="T54" s="291"/>
      <c r="U54" s="236"/>
      <c r="V54" s="291"/>
      <c r="W54" s="236"/>
      <c r="X54" s="291"/>
      <c r="Y54" s="236"/>
      <c r="Z54" s="291"/>
      <c r="AA54" s="236"/>
      <c r="AB54" s="291"/>
      <c r="AC54" s="236"/>
      <c r="AD54" s="291"/>
      <c r="AE54" s="236"/>
      <c r="AF54" s="291"/>
      <c r="AG54" s="236"/>
      <c r="AH54" s="291"/>
      <c r="AI54" s="236"/>
      <c r="AJ54" s="291"/>
      <c r="AK54" s="236"/>
      <c r="AL54" s="291"/>
      <c r="AM54" s="236"/>
      <c r="AN54" s="291"/>
      <c r="AO54" s="236"/>
      <c r="AP54" s="291"/>
      <c r="AQ54" s="236"/>
      <c r="AR54" s="291"/>
    </row>
    <row r="55" spans="1:44" ht="18.75" customHeight="1" x14ac:dyDescent="0.25">
      <c r="B55" s="565"/>
      <c r="C55" s="570"/>
      <c r="D55" s="29" t="s">
        <v>119</v>
      </c>
      <c r="E55" s="236">
        <v>1500000</v>
      </c>
      <c r="F55" s="236">
        <v>1500000</v>
      </c>
      <c r="G55" s="236">
        <v>1500000</v>
      </c>
      <c r="H55" s="236">
        <v>1500000</v>
      </c>
      <c r="I55" s="236">
        <v>1500000</v>
      </c>
      <c r="J55" s="236">
        <v>1500000</v>
      </c>
      <c r="K55" s="236">
        <v>1500000</v>
      </c>
      <c r="L55" s="236">
        <v>1500000</v>
      </c>
      <c r="M55" s="236">
        <v>1500000</v>
      </c>
      <c r="N55" s="236">
        <v>1500000</v>
      </c>
      <c r="O55" s="236">
        <v>1500000</v>
      </c>
      <c r="P55" s="236">
        <v>1500000</v>
      </c>
      <c r="Q55" s="236">
        <v>1500000</v>
      </c>
      <c r="R55" s="236">
        <v>1500000</v>
      </c>
      <c r="S55" s="236">
        <v>1500000</v>
      </c>
      <c r="T55" s="291"/>
      <c r="U55" s="236"/>
      <c r="V55" s="291"/>
      <c r="W55" s="236"/>
      <c r="X55" s="291"/>
      <c r="Y55" s="236"/>
      <c r="Z55" s="291"/>
      <c r="AA55" s="236"/>
      <c r="AB55" s="291"/>
      <c r="AC55" s="236"/>
      <c r="AD55" s="291"/>
      <c r="AE55" s="236"/>
      <c r="AF55" s="291"/>
      <c r="AG55" s="236"/>
      <c r="AH55" s="291"/>
      <c r="AI55" s="236"/>
      <c r="AJ55" s="291"/>
      <c r="AK55" s="236"/>
      <c r="AL55" s="291"/>
      <c r="AM55" s="236"/>
      <c r="AN55" s="291"/>
      <c r="AO55" s="236"/>
      <c r="AP55" s="291"/>
      <c r="AQ55" s="236"/>
      <c r="AR55" s="291"/>
    </row>
    <row r="56" spans="1:44" ht="18.75" customHeight="1" x14ac:dyDescent="0.25">
      <c r="B56" s="565"/>
      <c r="C56" s="570"/>
      <c r="D56" s="29" t="s">
        <v>120</v>
      </c>
      <c r="E56" s="236">
        <v>1500000</v>
      </c>
      <c r="F56" s="236">
        <v>1500000</v>
      </c>
      <c r="G56" s="236">
        <v>1500000</v>
      </c>
      <c r="H56" s="236">
        <v>1500000</v>
      </c>
      <c r="I56" s="236"/>
      <c r="J56" s="236"/>
      <c r="K56" s="236">
        <v>1500000</v>
      </c>
      <c r="L56" s="236">
        <v>1500000</v>
      </c>
      <c r="M56" s="236">
        <v>1500000</v>
      </c>
      <c r="N56" s="236">
        <v>1500000</v>
      </c>
      <c r="O56" s="236">
        <v>1500000</v>
      </c>
      <c r="P56" s="236">
        <v>1500000</v>
      </c>
      <c r="Q56" s="236">
        <v>1500000</v>
      </c>
      <c r="R56" s="236"/>
      <c r="S56" s="236">
        <v>0</v>
      </c>
      <c r="T56" s="291"/>
      <c r="U56" s="236"/>
      <c r="V56" s="291"/>
      <c r="W56" s="236"/>
      <c r="X56" s="291"/>
      <c r="Y56" s="236"/>
      <c r="Z56" s="291"/>
      <c r="AA56" s="236"/>
      <c r="AB56" s="291"/>
      <c r="AC56" s="236"/>
      <c r="AD56" s="291"/>
      <c r="AE56" s="236"/>
      <c r="AF56" s="291"/>
      <c r="AG56" s="236"/>
      <c r="AH56" s="291"/>
      <c r="AI56" s="236"/>
      <c r="AJ56" s="291"/>
      <c r="AK56" s="236"/>
      <c r="AL56" s="291"/>
      <c r="AM56" s="236"/>
      <c r="AN56" s="291"/>
      <c r="AO56" s="236"/>
      <c r="AP56" s="291"/>
      <c r="AQ56" s="236"/>
      <c r="AR56" s="291"/>
    </row>
    <row r="57" spans="1:44" ht="18.75" customHeight="1" x14ac:dyDescent="0.25">
      <c r="B57" s="565"/>
      <c r="C57" s="570"/>
      <c r="D57" s="29" t="s">
        <v>121</v>
      </c>
      <c r="E57" s="237">
        <f>E77+E76</f>
        <v>16000000</v>
      </c>
      <c r="F57" s="292">
        <f t="shared" ref="F57:AR57" si="48">F77+F76</f>
        <v>11000000</v>
      </c>
      <c r="G57" s="237">
        <f t="shared" si="48"/>
        <v>23000000</v>
      </c>
      <c r="H57" s="292">
        <f t="shared" si="48"/>
        <v>12355000</v>
      </c>
      <c r="I57" s="237">
        <f t="shared" si="48"/>
        <v>100000</v>
      </c>
      <c r="J57" s="292">
        <f t="shared" si="48"/>
        <v>400000</v>
      </c>
      <c r="K57" s="237">
        <f t="shared" si="48"/>
        <v>4900000</v>
      </c>
      <c r="L57" s="292">
        <f t="shared" si="48"/>
        <v>15057000</v>
      </c>
      <c r="M57" s="237">
        <f t="shared" si="48"/>
        <v>5500000</v>
      </c>
      <c r="N57" s="292">
        <f t="shared" si="48"/>
        <v>6500000</v>
      </c>
      <c r="O57" s="237">
        <f t="shared" si="48"/>
        <v>12303000</v>
      </c>
      <c r="P57" s="292">
        <f t="shared" si="48"/>
        <v>8000000</v>
      </c>
      <c r="Q57" s="237">
        <f t="shared" si="48"/>
        <v>5000000</v>
      </c>
      <c r="R57" s="292">
        <f t="shared" si="48"/>
        <v>850000</v>
      </c>
      <c r="S57" s="237">
        <f t="shared" si="48"/>
        <v>300000</v>
      </c>
      <c r="T57" s="292">
        <f t="shared" si="48"/>
        <v>0</v>
      </c>
      <c r="U57" s="237">
        <f t="shared" si="48"/>
        <v>0</v>
      </c>
      <c r="V57" s="292">
        <f t="shared" si="48"/>
        <v>0</v>
      </c>
      <c r="W57" s="237">
        <f t="shared" si="48"/>
        <v>0</v>
      </c>
      <c r="X57" s="292">
        <f t="shared" si="48"/>
        <v>0</v>
      </c>
      <c r="Y57" s="237">
        <f t="shared" si="48"/>
        <v>0</v>
      </c>
      <c r="Z57" s="292">
        <f t="shared" si="48"/>
        <v>0</v>
      </c>
      <c r="AA57" s="237">
        <f t="shared" si="48"/>
        <v>0</v>
      </c>
      <c r="AB57" s="292">
        <f t="shared" si="48"/>
        <v>0</v>
      </c>
      <c r="AC57" s="237">
        <f t="shared" si="48"/>
        <v>0</v>
      </c>
      <c r="AD57" s="292">
        <f t="shared" si="48"/>
        <v>0</v>
      </c>
      <c r="AE57" s="237">
        <f t="shared" si="48"/>
        <v>0</v>
      </c>
      <c r="AF57" s="292">
        <f t="shared" si="48"/>
        <v>0</v>
      </c>
      <c r="AG57" s="237">
        <f t="shared" si="48"/>
        <v>0</v>
      </c>
      <c r="AH57" s="292">
        <f t="shared" si="48"/>
        <v>0</v>
      </c>
      <c r="AI57" s="237">
        <f t="shared" si="48"/>
        <v>0</v>
      </c>
      <c r="AJ57" s="292">
        <f t="shared" si="48"/>
        <v>0</v>
      </c>
      <c r="AK57" s="237">
        <f t="shared" si="48"/>
        <v>0</v>
      </c>
      <c r="AL57" s="292">
        <f t="shared" si="48"/>
        <v>0</v>
      </c>
      <c r="AM57" s="237">
        <f t="shared" si="48"/>
        <v>0</v>
      </c>
      <c r="AN57" s="292">
        <f t="shared" si="48"/>
        <v>0</v>
      </c>
      <c r="AO57" s="237">
        <f t="shared" si="48"/>
        <v>0</v>
      </c>
      <c r="AP57" s="292">
        <f t="shared" si="48"/>
        <v>0</v>
      </c>
      <c r="AQ57" s="237">
        <f t="shared" si="48"/>
        <v>0</v>
      </c>
      <c r="AR57" s="292">
        <f t="shared" si="48"/>
        <v>0</v>
      </c>
    </row>
    <row r="58" spans="1:44" ht="18.75" customHeight="1" x14ac:dyDescent="0.25">
      <c r="B58" s="565"/>
      <c r="C58" s="570"/>
      <c r="D58" s="29" t="s">
        <v>122</v>
      </c>
      <c r="E58" s="237">
        <f>E92+E105+E118</f>
        <v>10800000</v>
      </c>
      <c r="F58" s="237">
        <f t="shared" ref="F58:AR58" si="49">F92+F105+F118</f>
        <v>11100000</v>
      </c>
      <c r="G58" s="237">
        <f t="shared" si="49"/>
        <v>11400000</v>
      </c>
      <c r="H58" s="237">
        <f t="shared" si="49"/>
        <v>10800000</v>
      </c>
      <c r="I58" s="237">
        <f t="shared" si="49"/>
        <v>0</v>
      </c>
      <c r="J58" s="237">
        <f t="shared" si="49"/>
        <v>0</v>
      </c>
      <c r="K58" s="237">
        <f t="shared" si="49"/>
        <v>6000000</v>
      </c>
      <c r="L58" s="237">
        <f t="shared" si="49"/>
        <v>11400000</v>
      </c>
      <c r="M58" s="237">
        <f t="shared" si="49"/>
        <v>6300000</v>
      </c>
      <c r="N58" s="237">
        <f t="shared" si="49"/>
        <v>6000000</v>
      </c>
      <c r="O58" s="237">
        <f t="shared" si="49"/>
        <v>12000000</v>
      </c>
      <c r="P58" s="237">
        <f t="shared" si="49"/>
        <v>12000000</v>
      </c>
      <c r="Q58" s="237">
        <f t="shared" si="49"/>
        <v>6300000</v>
      </c>
      <c r="R58" s="237">
        <f t="shared" si="49"/>
        <v>0</v>
      </c>
      <c r="S58" s="237">
        <f t="shared" si="49"/>
        <v>0</v>
      </c>
      <c r="T58" s="237">
        <f t="shared" si="49"/>
        <v>0</v>
      </c>
      <c r="U58" s="237">
        <f t="shared" si="49"/>
        <v>0</v>
      </c>
      <c r="V58" s="237">
        <f t="shared" si="49"/>
        <v>0</v>
      </c>
      <c r="W58" s="237">
        <f t="shared" si="49"/>
        <v>0</v>
      </c>
      <c r="X58" s="237">
        <f t="shared" si="49"/>
        <v>0</v>
      </c>
      <c r="Y58" s="237">
        <f t="shared" si="49"/>
        <v>0</v>
      </c>
      <c r="Z58" s="237">
        <f t="shared" si="49"/>
        <v>0</v>
      </c>
      <c r="AA58" s="237">
        <f t="shared" si="49"/>
        <v>0</v>
      </c>
      <c r="AB58" s="237">
        <f t="shared" si="49"/>
        <v>0</v>
      </c>
      <c r="AC58" s="237">
        <f t="shared" si="49"/>
        <v>0</v>
      </c>
      <c r="AD58" s="237">
        <f t="shared" si="49"/>
        <v>0</v>
      </c>
      <c r="AE58" s="237">
        <f t="shared" si="49"/>
        <v>0</v>
      </c>
      <c r="AF58" s="237">
        <f t="shared" si="49"/>
        <v>0</v>
      </c>
      <c r="AG58" s="237">
        <f t="shared" si="49"/>
        <v>0</v>
      </c>
      <c r="AH58" s="237">
        <f t="shared" si="49"/>
        <v>0</v>
      </c>
      <c r="AI58" s="237">
        <f t="shared" si="49"/>
        <v>0</v>
      </c>
      <c r="AJ58" s="237">
        <f t="shared" si="49"/>
        <v>0</v>
      </c>
      <c r="AK58" s="237">
        <f t="shared" si="49"/>
        <v>0</v>
      </c>
      <c r="AL58" s="237">
        <f t="shared" si="49"/>
        <v>0</v>
      </c>
      <c r="AM58" s="237">
        <f t="shared" si="49"/>
        <v>0</v>
      </c>
      <c r="AN58" s="237">
        <f t="shared" si="49"/>
        <v>0</v>
      </c>
      <c r="AO58" s="237">
        <f t="shared" si="49"/>
        <v>0</v>
      </c>
      <c r="AP58" s="237">
        <f t="shared" si="49"/>
        <v>0</v>
      </c>
      <c r="AQ58" s="237">
        <f t="shared" si="49"/>
        <v>0</v>
      </c>
      <c r="AR58" s="237">
        <f t="shared" si="49"/>
        <v>0</v>
      </c>
    </row>
    <row r="59" spans="1:44" ht="18.75" customHeight="1" x14ac:dyDescent="0.25">
      <c r="B59" s="565"/>
      <c r="C59" s="570"/>
      <c r="D59" s="29" t="s">
        <v>61</v>
      </c>
      <c r="E59" s="236"/>
      <c r="F59" s="291"/>
      <c r="G59" s="236"/>
      <c r="H59" s="291"/>
      <c r="I59" s="236"/>
      <c r="J59" s="291"/>
      <c r="K59" s="236"/>
      <c r="L59" s="291"/>
      <c r="M59" s="236"/>
      <c r="N59" s="291"/>
      <c r="O59" s="236"/>
      <c r="P59" s="291"/>
      <c r="Q59" s="236"/>
      <c r="R59" s="291"/>
      <c r="S59" s="236"/>
      <c r="T59" s="291"/>
      <c r="U59" s="236"/>
      <c r="V59" s="291"/>
      <c r="W59" s="236"/>
      <c r="X59" s="291"/>
      <c r="Y59" s="236"/>
      <c r="Z59" s="291"/>
      <c r="AA59" s="236"/>
      <c r="AB59" s="291"/>
      <c r="AC59" s="236"/>
      <c r="AD59" s="291"/>
      <c r="AE59" s="236"/>
      <c r="AF59" s="291"/>
      <c r="AG59" s="236"/>
      <c r="AH59" s="291"/>
      <c r="AI59" s="236"/>
      <c r="AJ59" s="291"/>
      <c r="AK59" s="236"/>
      <c r="AL59" s="291"/>
      <c r="AM59" s="236"/>
      <c r="AN59" s="291"/>
      <c r="AO59" s="236"/>
      <c r="AP59" s="291"/>
      <c r="AQ59" s="236"/>
      <c r="AR59" s="291"/>
    </row>
    <row r="60" spans="1:44" ht="21.75" customHeight="1" x14ac:dyDescent="0.25">
      <c r="A60" s="7" t="s">
        <v>38</v>
      </c>
      <c r="B60" s="565"/>
      <c r="C60" s="570"/>
      <c r="D60" s="30" t="s">
        <v>39</v>
      </c>
      <c r="E60" s="238">
        <f t="shared" ref="E60:AR60" si="50">E52+E59+E54+E57+E58</f>
        <v>28683214</v>
      </c>
      <c r="F60" s="293">
        <f t="shared" si="50"/>
        <v>23952000</v>
      </c>
      <c r="G60" s="238">
        <f t="shared" si="50"/>
        <v>36029000</v>
      </c>
      <c r="H60" s="293">
        <f t="shared" si="50"/>
        <v>23725000</v>
      </c>
      <c r="I60" s="238">
        <f t="shared" si="50"/>
        <v>950000</v>
      </c>
      <c r="J60" s="293">
        <f t="shared" si="50"/>
        <v>720000</v>
      </c>
      <c r="K60" s="238">
        <f t="shared" si="50"/>
        <v>11357998</v>
      </c>
      <c r="L60" s="293">
        <f t="shared" si="50"/>
        <v>28157000</v>
      </c>
      <c r="M60" s="238">
        <f t="shared" si="50"/>
        <v>12178000</v>
      </c>
      <c r="N60" s="293">
        <f t="shared" si="50"/>
        <v>13283495</v>
      </c>
      <c r="O60" s="238">
        <f t="shared" si="50"/>
        <v>25836000</v>
      </c>
      <c r="P60" s="293">
        <f t="shared" si="50"/>
        <v>20800000</v>
      </c>
      <c r="Q60" s="238">
        <f t="shared" si="50"/>
        <v>11687023</v>
      </c>
      <c r="R60" s="293">
        <f t="shared" si="50"/>
        <v>2450000</v>
      </c>
      <c r="S60" s="238">
        <f t="shared" si="50"/>
        <v>430000</v>
      </c>
      <c r="T60" s="293">
        <f t="shared" si="50"/>
        <v>800000</v>
      </c>
      <c r="U60" s="238">
        <f t="shared" si="50"/>
        <v>150000</v>
      </c>
      <c r="V60" s="293">
        <f t="shared" si="50"/>
        <v>150000</v>
      </c>
      <c r="W60" s="238">
        <f t="shared" si="50"/>
        <v>130000</v>
      </c>
      <c r="X60" s="293">
        <f t="shared" si="50"/>
        <v>150000</v>
      </c>
      <c r="Y60" s="238">
        <f t="shared" si="50"/>
        <v>0</v>
      </c>
      <c r="Z60" s="293">
        <f t="shared" si="50"/>
        <v>0</v>
      </c>
      <c r="AA60" s="238">
        <f t="shared" si="50"/>
        <v>0</v>
      </c>
      <c r="AB60" s="293">
        <f t="shared" si="50"/>
        <v>0</v>
      </c>
      <c r="AC60" s="238">
        <f t="shared" si="50"/>
        <v>0</v>
      </c>
      <c r="AD60" s="293">
        <f t="shared" si="50"/>
        <v>0</v>
      </c>
      <c r="AE60" s="238">
        <f t="shared" si="50"/>
        <v>0</v>
      </c>
      <c r="AF60" s="293">
        <f t="shared" si="50"/>
        <v>0</v>
      </c>
      <c r="AG60" s="238">
        <f t="shared" si="50"/>
        <v>0</v>
      </c>
      <c r="AH60" s="293">
        <f t="shared" si="50"/>
        <v>0</v>
      </c>
      <c r="AI60" s="238">
        <f t="shared" si="50"/>
        <v>0</v>
      </c>
      <c r="AJ60" s="293">
        <f t="shared" si="50"/>
        <v>0</v>
      </c>
      <c r="AK60" s="238">
        <f t="shared" si="50"/>
        <v>0</v>
      </c>
      <c r="AL60" s="293">
        <f t="shared" si="50"/>
        <v>0</v>
      </c>
      <c r="AM60" s="238">
        <f t="shared" si="50"/>
        <v>0</v>
      </c>
      <c r="AN60" s="293">
        <f t="shared" si="50"/>
        <v>0</v>
      </c>
      <c r="AO60" s="238">
        <f t="shared" si="50"/>
        <v>0</v>
      </c>
      <c r="AP60" s="293">
        <f t="shared" si="50"/>
        <v>0</v>
      </c>
      <c r="AQ60" s="238">
        <f t="shared" si="50"/>
        <v>0</v>
      </c>
      <c r="AR60" s="293">
        <f t="shared" si="50"/>
        <v>0</v>
      </c>
    </row>
    <row r="61" spans="1:44" ht="35.25" customHeight="1" x14ac:dyDescent="0.25">
      <c r="B61" s="565"/>
      <c r="C61" s="570"/>
      <c r="D61" s="29" t="s">
        <v>123</v>
      </c>
      <c r="E61" s="235"/>
      <c r="F61" s="294"/>
      <c r="G61" s="235"/>
      <c r="H61" s="294"/>
      <c r="I61" s="235"/>
      <c r="J61" s="294"/>
      <c r="K61" s="235"/>
      <c r="L61" s="294"/>
      <c r="M61" s="235"/>
      <c r="N61" s="294"/>
      <c r="O61" s="235"/>
      <c r="P61" s="294"/>
      <c r="Q61" s="235"/>
      <c r="R61" s="294"/>
      <c r="S61" s="235"/>
      <c r="T61" s="294"/>
      <c r="U61" s="235"/>
      <c r="V61" s="294"/>
      <c r="W61" s="235"/>
      <c r="X61" s="294"/>
      <c r="Y61" s="235"/>
      <c r="Z61" s="294"/>
      <c r="AA61" s="235"/>
      <c r="AB61" s="294"/>
      <c r="AC61" s="235"/>
      <c r="AD61" s="294"/>
      <c r="AE61" s="235"/>
      <c r="AF61" s="294"/>
      <c r="AG61" s="235"/>
      <c r="AH61" s="294"/>
      <c r="AI61" s="235"/>
      <c r="AJ61" s="294"/>
      <c r="AK61" s="235"/>
      <c r="AL61" s="294"/>
      <c r="AM61" s="235"/>
      <c r="AN61" s="294"/>
      <c r="AO61" s="235"/>
      <c r="AP61" s="294"/>
      <c r="AQ61" s="235"/>
      <c r="AR61" s="294"/>
    </row>
    <row r="62" spans="1:44" ht="36" customHeight="1" x14ac:dyDescent="0.25">
      <c r="B62" s="565"/>
      <c r="C62" s="570"/>
      <c r="D62" s="69" t="s">
        <v>124</v>
      </c>
      <c r="E62" s="238">
        <f>E51+E60-E61</f>
        <v>99883214</v>
      </c>
      <c r="F62" s="293">
        <f t="shared" ref="F62:AR62" si="51">F51+F60-F61</f>
        <v>80702000</v>
      </c>
      <c r="G62" s="238">
        <f t="shared" si="51"/>
        <v>130829000</v>
      </c>
      <c r="H62" s="293">
        <f t="shared" si="51"/>
        <v>55725000</v>
      </c>
      <c r="I62" s="238">
        <f t="shared" si="51"/>
        <v>15150000</v>
      </c>
      <c r="J62" s="293">
        <f t="shared" si="51"/>
        <v>15520000</v>
      </c>
      <c r="K62" s="238">
        <f t="shared" si="51"/>
        <v>40657998</v>
      </c>
      <c r="L62" s="293">
        <f t="shared" si="51"/>
        <v>79757000</v>
      </c>
      <c r="M62" s="238">
        <f t="shared" si="51"/>
        <v>51078000</v>
      </c>
      <c r="N62" s="293">
        <f t="shared" si="51"/>
        <v>55033495</v>
      </c>
      <c r="O62" s="238">
        <f t="shared" si="51"/>
        <v>49836000</v>
      </c>
      <c r="P62" s="293">
        <f t="shared" si="51"/>
        <v>47400000</v>
      </c>
      <c r="Q62" s="238">
        <f t="shared" si="51"/>
        <v>89687023</v>
      </c>
      <c r="R62" s="293">
        <f t="shared" si="51"/>
        <v>35250000</v>
      </c>
      <c r="S62" s="238">
        <f t="shared" si="51"/>
        <v>10130000</v>
      </c>
      <c r="T62" s="293">
        <f t="shared" si="51"/>
        <v>4000000</v>
      </c>
      <c r="U62" s="238">
        <f t="shared" si="51"/>
        <v>1650000</v>
      </c>
      <c r="V62" s="293">
        <f t="shared" si="51"/>
        <v>1650000</v>
      </c>
      <c r="W62" s="238">
        <f t="shared" si="51"/>
        <v>260000</v>
      </c>
      <c r="X62" s="293">
        <f t="shared" si="51"/>
        <v>1650000</v>
      </c>
      <c r="Y62" s="238">
        <f t="shared" si="51"/>
        <v>0</v>
      </c>
      <c r="Z62" s="293">
        <f t="shared" si="51"/>
        <v>0</v>
      </c>
      <c r="AA62" s="238">
        <f t="shared" si="51"/>
        <v>0</v>
      </c>
      <c r="AB62" s="293">
        <f t="shared" si="51"/>
        <v>0</v>
      </c>
      <c r="AC62" s="238">
        <f t="shared" si="51"/>
        <v>0</v>
      </c>
      <c r="AD62" s="293">
        <f t="shared" si="51"/>
        <v>0</v>
      </c>
      <c r="AE62" s="238">
        <f t="shared" si="51"/>
        <v>0</v>
      </c>
      <c r="AF62" s="293">
        <f t="shared" si="51"/>
        <v>0</v>
      </c>
      <c r="AG62" s="238">
        <f t="shared" si="51"/>
        <v>0</v>
      </c>
      <c r="AH62" s="293">
        <f t="shared" si="51"/>
        <v>0</v>
      </c>
      <c r="AI62" s="238">
        <f t="shared" si="51"/>
        <v>0</v>
      </c>
      <c r="AJ62" s="293">
        <f t="shared" si="51"/>
        <v>0</v>
      </c>
      <c r="AK62" s="238">
        <f t="shared" si="51"/>
        <v>0</v>
      </c>
      <c r="AL62" s="293">
        <f t="shared" si="51"/>
        <v>0</v>
      </c>
      <c r="AM62" s="238">
        <f t="shared" si="51"/>
        <v>0</v>
      </c>
      <c r="AN62" s="293">
        <f t="shared" si="51"/>
        <v>0</v>
      </c>
      <c r="AO62" s="238">
        <f t="shared" si="51"/>
        <v>0</v>
      </c>
      <c r="AP62" s="293">
        <f t="shared" si="51"/>
        <v>0</v>
      </c>
      <c r="AQ62" s="238">
        <f t="shared" si="51"/>
        <v>0</v>
      </c>
      <c r="AR62" s="293">
        <f t="shared" si="51"/>
        <v>0</v>
      </c>
    </row>
    <row r="63" spans="1:44" ht="21" customHeight="1" x14ac:dyDescent="0.25">
      <c r="B63" s="565"/>
      <c r="C63" s="570"/>
      <c r="D63" s="30" t="s">
        <v>125</v>
      </c>
      <c r="E63" s="235"/>
      <c r="F63" s="294"/>
      <c r="G63" s="235"/>
      <c r="H63" s="294"/>
      <c r="I63" s="235"/>
      <c r="J63" s="294"/>
      <c r="K63" s="235"/>
      <c r="L63" s="294"/>
      <c r="M63" s="235"/>
      <c r="N63" s="294"/>
      <c r="O63" s="235"/>
      <c r="P63" s="294"/>
      <c r="Q63" s="235"/>
      <c r="R63" s="294"/>
      <c r="S63" s="235"/>
      <c r="T63" s="294"/>
      <c r="U63" s="235"/>
      <c r="V63" s="294"/>
      <c r="W63" s="235"/>
      <c r="X63" s="294"/>
      <c r="Y63" s="235"/>
      <c r="Z63" s="294"/>
      <c r="AA63" s="235"/>
      <c r="AB63" s="294"/>
      <c r="AC63" s="235"/>
      <c r="AD63" s="294"/>
      <c r="AE63" s="235"/>
      <c r="AF63" s="294"/>
      <c r="AG63" s="235"/>
      <c r="AH63" s="294"/>
      <c r="AI63" s="235"/>
      <c r="AJ63" s="294"/>
      <c r="AK63" s="235"/>
      <c r="AL63" s="294"/>
      <c r="AM63" s="235"/>
      <c r="AN63" s="294"/>
      <c r="AO63" s="235"/>
      <c r="AP63" s="294"/>
      <c r="AQ63" s="235"/>
      <c r="AR63" s="294"/>
    </row>
    <row r="64" spans="1:44" ht="20.25" customHeight="1" x14ac:dyDescent="0.25">
      <c r="B64" s="565"/>
      <c r="C64" s="570"/>
      <c r="D64" s="29" t="s">
        <v>13</v>
      </c>
      <c r="E64" s="70" t="s">
        <v>533</v>
      </c>
      <c r="F64" s="295" t="s">
        <v>533</v>
      </c>
      <c r="G64" s="70" t="s">
        <v>533</v>
      </c>
      <c r="H64" s="295" t="s">
        <v>533</v>
      </c>
      <c r="I64" s="70" t="s">
        <v>534</v>
      </c>
      <c r="J64" s="295" t="s">
        <v>535</v>
      </c>
      <c r="K64" s="70" t="s">
        <v>536</v>
      </c>
      <c r="L64" s="295" t="s">
        <v>536</v>
      </c>
      <c r="M64" s="70" t="s">
        <v>537</v>
      </c>
      <c r="N64" s="295" t="s">
        <v>537</v>
      </c>
      <c r="O64" s="70" t="s">
        <v>537</v>
      </c>
      <c r="P64" s="295" t="s">
        <v>537</v>
      </c>
      <c r="Q64" s="70" t="s">
        <v>538</v>
      </c>
      <c r="R64" s="295" t="s">
        <v>535</v>
      </c>
      <c r="S64" s="70"/>
      <c r="T64" s="295"/>
      <c r="U64" s="70"/>
      <c r="V64" s="295"/>
      <c r="W64" s="70"/>
      <c r="X64" s="295"/>
      <c r="Y64" s="70"/>
      <c r="Z64" s="295"/>
      <c r="AA64" s="70"/>
      <c r="AB64" s="295"/>
      <c r="AC64" s="70"/>
      <c r="AD64" s="295"/>
      <c r="AE64" s="70"/>
      <c r="AF64" s="295"/>
      <c r="AG64" s="70"/>
      <c r="AH64" s="295"/>
      <c r="AI64" s="70"/>
      <c r="AJ64" s="295"/>
      <c r="AK64" s="70"/>
      <c r="AL64" s="295"/>
      <c r="AM64" s="70"/>
      <c r="AN64" s="295"/>
      <c r="AO64" s="70"/>
      <c r="AP64" s="295"/>
      <c r="AQ64" s="70"/>
      <c r="AR64" s="295"/>
    </row>
    <row r="65" spans="2:44" ht="18.75" customHeight="1" x14ac:dyDescent="0.25">
      <c r="B65" s="565"/>
      <c r="C65" s="570"/>
      <c r="D65" s="29" t="s">
        <v>12</v>
      </c>
      <c r="E65" s="70" t="s">
        <v>539</v>
      </c>
      <c r="F65" s="295" t="s">
        <v>539</v>
      </c>
      <c r="G65" s="70" t="s">
        <v>539</v>
      </c>
      <c r="H65" s="295" t="s">
        <v>539</v>
      </c>
      <c r="I65" s="70"/>
      <c r="J65" s="295"/>
      <c r="K65" s="70" t="s">
        <v>540</v>
      </c>
      <c r="L65" s="295" t="s">
        <v>541</v>
      </c>
      <c r="M65" s="70" t="s">
        <v>540</v>
      </c>
      <c r="N65" s="295" t="s">
        <v>542</v>
      </c>
      <c r="O65" s="70"/>
      <c r="P65" s="295"/>
      <c r="Q65" s="70" t="s">
        <v>568</v>
      </c>
      <c r="R65" s="295"/>
      <c r="S65" s="70"/>
      <c r="T65" s="295"/>
      <c r="U65" s="70"/>
      <c r="V65" s="295"/>
      <c r="W65" s="70"/>
      <c r="X65" s="295"/>
      <c r="Y65" s="70"/>
      <c r="Z65" s="295"/>
      <c r="AA65" s="70"/>
      <c r="AB65" s="295"/>
      <c r="AC65" s="70"/>
      <c r="AD65" s="295"/>
      <c r="AE65" s="70"/>
      <c r="AF65" s="295"/>
      <c r="AG65" s="70"/>
      <c r="AH65" s="295"/>
      <c r="AI65" s="70"/>
      <c r="AJ65" s="295"/>
      <c r="AK65" s="70"/>
      <c r="AL65" s="295"/>
      <c r="AM65" s="70"/>
      <c r="AN65" s="295"/>
      <c r="AO65" s="70"/>
      <c r="AP65" s="295"/>
      <c r="AQ65" s="70"/>
      <c r="AR65" s="295"/>
    </row>
    <row r="66" spans="2:44" ht="18" customHeight="1" x14ac:dyDescent="0.25">
      <c r="B66" s="565"/>
      <c r="C66" s="570"/>
      <c r="D66" s="29" t="s">
        <v>126</v>
      </c>
      <c r="E66" s="235">
        <v>500000</v>
      </c>
      <c r="F66" s="294">
        <v>1000000</v>
      </c>
      <c r="G66" s="235">
        <v>7000000</v>
      </c>
      <c r="H66" s="294">
        <v>32077300</v>
      </c>
      <c r="I66" s="235">
        <v>600000</v>
      </c>
      <c r="J66" s="294">
        <v>400000</v>
      </c>
      <c r="K66" s="235">
        <v>700000</v>
      </c>
      <c r="L66" s="294">
        <v>480000</v>
      </c>
      <c r="M66" s="235">
        <v>410000</v>
      </c>
      <c r="N66" s="294">
        <v>420000</v>
      </c>
      <c r="O66" s="235">
        <v>400000</v>
      </c>
      <c r="P66" s="294">
        <v>500000</v>
      </c>
      <c r="Q66" s="235">
        <v>4000000</v>
      </c>
      <c r="R66" s="294">
        <v>210000</v>
      </c>
      <c r="S66" s="235">
        <v>200000</v>
      </c>
      <c r="T66" s="294">
        <v>4000000</v>
      </c>
      <c r="U66" s="235"/>
      <c r="V66" s="294"/>
      <c r="W66" s="235"/>
      <c r="X66" s="294"/>
      <c r="Y66" s="235"/>
      <c r="Z66" s="294"/>
      <c r="AA66" s="235"/>
      <c r="AB66" s="294"/>
      <c r="AC66" s="235"/>
      <c r="AD66" s="294"/>
      <c r="AE66" s="235"/>
      <c r="AF66" s="294"/>
      <c r="AG66" s="235"/>
      <c r="AH66" s="294"/>
      <c r="AI66" s="235"/>
      <c r="AJ66" s="294"/>
      <c r="AK66" s="235"/>
      <c r="AL66" s="294"/>
      <c r="AM66" s="235"/>
      <c r="AN66" s="294"/>
      <c r="AO66" s="235"/>
      <c r="AP66" s="294"/>
      <c r="AQ66" s="235"/>
      <c r="AR66" s="294"/>
    </row>
    <row r="67" spans="2:44" ht="18" customHeight="1" x14ac:dyDescent="0.25">
      <c r="B67" s="565"/>
      <c r="C67" s="570"/>
      <c r="D67" s="29" t="s">
        <v>234</v>
      </c>
      <c r="E67" s="235">
        <v>280000000</v>
      </c>
      <c r="F67" s="294">
        <v>240000000</v>
      </c>
      <c r="G67" s="235">
        <v>390000000</v>
      </c>
      <c r="H67" s="294">
        <v>18000000</v>
      </c>
      <c r="I67" s="235">
        <v>18000000</v>
      </c>
      <c r="J67" s="294">
        <v>35000000</v>
      </c>
      <c r="K67" s="235">
        <v>140000000</v>
      </c>
      <c r="L67" s="294">
        <v>204500000</v>
      </c>
      <c r="M67" s="235">
        <v>150000000</v>
      </c>
      <c r="N67" s="294">
        <v>150000000</v>
      </c>
      <c r="O67" s="235">
        <v>101030000</v>
      </c>
      <c r="P67" s="294">
        <v>140000000</v>
      </c>
      <c r="Q67" s="235">
        <v>200000000</v>
      </c>
      <c r="R67" s="294">
        <v>60000000</v>
      </c>
      <c r="S67" s="235">
        <v>12000000</v>
      </c>
      <c r="T67" s="294"/>
      <c r="U67" s="235"/>
      <c r="V67" s="294"/>
      <c r="W67" s="235"/>
      <c r="X67" s="294"/>
      <c r="Y67" s="235"/>
      <c r="Z67" s="294"/>
      <c r="AA67" s="235"/>
      <c r="AB67" s="294"/>
      <c r="AC67" s="235"/>
      <c r="AD67" s="294"/>
      <c r="AE67" s="235"/>
      <c r="AF67" s="294"/>
      <c r="AG67" s="235"/>
      <c r="AH67" s="294"/>
      <c r="AI67" s="235"/>
      <c r="AJ67" s="294"/>
      <c r="AK67" s="235"/>
      <c r="AL67" s="294"/>
      <c r="AM67" s="235"/>
      <c r="AN67" s="294"/>
      <c r="AO67" s="235"/>
      <c r="AP67" s="294"/>
      <c r="AQ67" s="235"/>
      <c r="AR67" s="294"/>
    </row>
    <row r="68" spans="2:44" ht="18" customHeight="1" x14ac:dyDescent="0.25">
      <c r="B68" s="565"/>
      <c r="C68" s="570"/>
      <c r="D68" s="29" t="s">
        <v>235</v>
      </c>
      <c r="E68" s="235">
        <v>37</v>
      </c>
      <c r="F68" s="294">
        <v>36</v>
      </c>
      <c r="G68" s="235">
        <v>36</v>
      </c>
      <c r="H68" s="294">
        <v>30</v>
      </c>
      <c r="I68" s="235">
        <v>5</v>
      </c>
      <c r="J68" s="294">
        <v>7</v>
      </c>
      <c r="K68" s="235">
        <v>27</v>
      </c>
      <c r="L68" s="294">
        <v>42</v>
      </c>
      <c r="M68" s="235">
        <v>21</v>
      </c>
      <c r="N68" s="294">
        <v>22</v>
      </c>
      <c r="O68" s="235">
        <v>19</v>
      </c>
      <c r="P68" s="294">
        <v>25</v>
      </c>
      <c r="Q68" s="235">
        <v>23</v>
      </c>
      <c r="R68" s="294">
        <v>9</v>
      </c>
      <c r="S68" s="235">
        <v>4</v>
      </c>
      <c r="T68" s="294"/>
      <c r="U68" s="235"/>
      <c r="V68" s="294"/>
      <c r="W68" s="235"/>
      <c r="X68" s="294"/>
      <c r="Y68" s="235"/>
      <c r="Z68" s="294"/>
      <c r="AA68" s="235"/>
      <c r="AB68" s="294"/>
      <c r="AC68" s="235"/>
      <c r="AD68" s="294"/>
      <c r="AE68" s="235"/>
      <c r="AF68" s="294"/>
      <c r="AG68" s="235"/>
      <c r="AH68" s="294"/>
      <c r="AI68" s="235"/>
      <c r="AJ68" s="294"/>
      <c r="AK68" s="235"/>
      <c r="AL68" s="294"/>
      <c r="AM68" s="235"/>
      <c r="AN68" s="294"/>
      <c r="AO68" s="235"/>
      <c r="AP68" s="294"/>
      <c r="AQ68" s="235"/>
      <c r="AR68" s="294"/>
    </row>
    <row r="69" spans="2:44" ht="18" customHeight="1" x14ac:dyDescent="0.25">
      <c r="B69" s="565"/>
      <c r="C69" s="570"/>
      <c r="D69" s="29" t="s">
        <v>127</v>
      </c>
      <c r="E69" s="235">
        <v>2000000</v>
      </c>
      <c r="F69" s="294">
        <v>2000000</v>
      </c>
      <c r="G69" s="235">
        <v>1000000</v>
      </c>
      <c r="H69" s="294">
        <v>900000</v>
      </c>
      <c r="I69" s="235">
        <v>500000</v>
      </c>
      <c r="J69" s="294">
        <v>1500000</v>
      </c>
      <c r="K69" s="235">
        <v>1500000</v>
      </c>
      <c r="L69" s="294">
        <v>400000</v>
      </c>
      <c r="M69" s="235">
        <v>2300000</v>
      </c>
      <c r="N69" s="294">
        <v>2500000</v>
      </c>
      <c r="O69" s="235">
        <v>2300000</v>
      </c>
      <c r="P69" s="294">
        <v>2000000</v>
      </c>
      <c r="Q69" s="235">
        <v>1900000</v>
      </c>
      <c r="R69" s="294">
        <v>3000000</v>
      </c>
      <c r="S69" s="235">
        <v>4000000</v>
      </c>
      <c r="T69" s="294"/>
      <c r="U69" s="235"/>
      <c r="V69" s="294"/>
      <c r="W69" s="235"/>
      <c r="X69" s="294"/>
      <c r="Y69" s="235"/>
      <c r="Z69" s="294"/>
      <c r="AA69" s="235"/>
      <c r="AB69" s="294"/>
      <c r="AC69" s="235"/>
      <c r="AD69" s="294"/>
      <c r="AE69" s="235"/>
      <c r="AF69" s="294"/>
      <c r="AG69" s="235"/>
      <c r="AH69" s="294"/>
      <c r="AI69" s="235"/>
      <c r="AJ69" s="294"/>
      <c r="AK69" s="235"/>
      <c r="AL69" s="294"/>
      <c r="AM69" s="235"/>
      <c r="AN69" s="294"/>
      <c r="AO69" s="235"/>
      <c r="AP69" s="294"/>
      <c r="AQ69" s="235"/>
      <c r="AR69" s="294"/>
    </row>
    <row r="70" spans="2:44" ht="18" customHeight="1" x14ac:dyDescent="0.25">
      <c r="B70" s="565"/>
      <c r="C70" s="570"/>
      <c r="D70" s="29" t="s">
        <v>128</v>
      </c>
      <c r="E70" s="235">
        <v>21000000</v>
      </c>
      <c r="F70" s="294">
        <v>10000000</v>
      </c>
      <c r="G70" s="235">
        <v>26000000</v>
      </c>
      <c r="H70" s="294">
        <v>11500000</v>
      </c>
      <c r="I70" s="235">
        <v>5000000</v>
      </c>
      <c r="J70" s="294">
        <v>5000000</v>
      </c>
      <c r="K70" s="235">
        <v>5000000</v>
      </c>
      <c r="L70" s="294">
        <v>15000000</v>
      </c>
      <c r="M70" s="235">
        <v>8000000</v>
      </c>
      <c r="N70" s="294">
        <v>8000000</v>
      </c>
      <c r="O70" s="235">
        <v>11500000</v>
      </c>
      <c r="P70" s="294">
        <v>11500000</v>
      </c>
      <c r="Q70" s="235">
        <v>10000000</v>
      </c>
      <c r="R70" s="294">
        <v>7000000</v>
      </c>
      <c r="S70" s="235">
        <v>3000000</v>
      </c>
      <c r="T70" s="294"/>
      <c r="U70" s="235"/>
      <c r="V70" s="294"/>
      <c r="W70" s="235"/>
      <c r="X70" s="294"/>
      <c r="Y70" s="235"/>
      <c r="Z70" s="294"/>
      <c r="AA70" s="235"/>
      <c r="AB70" s="294"/>
      <c r="AC70" s="235"/>
      <c r="AD70" s="294"/>
      <c r="AE70" s="235"/>
      <c r="AF70" s="294"/>
      <c r="AG70" s="235"/>
      <c r="AH70" s="294"/>
      <c r="AI70" s="235"/>
      <c r="AJ70" s="294"/>
      <c r="AK70" s="235"/>
      <c r="AL70" s="294"/>
      <c r="AM70" s="235"/>
      <c r="AN70" s="294"/>
      <c r="AO70" s="235"/>
      <c r="AP70" s="294"/>
      <c r="AQ70" s="235"/>
      <c r="AR70" s="294"/>
    </row>
    <row r="71" spans="2:44" ht="18" customHeight="1" x14ac:dyDescent="0.25">
      <c r="B71" s="565"/>
      <c r="C71" s="570"/>
      <c r="D71" s="29" t="s">
        <v>129</v>
      </c>
      <c r="E71" s="235">
        <f t="shared" ref="E71:AJ71" si="52">E67/E68</f>
        <v>7567567.5675675673</v>
      </c>
      <c r="F71" s="235">
        <f t="shared" si="52"/>
        <v>6666666.666666667</v>
      </c>
      <c r="G71" s="235">
        <f t="shared" si="52"/>
        <v>10833333.333333334</v>
      </c>
      <c r="H71" s="235">
        <f t="shared" si="52"/>
        <v>600000</v>
      </c>
      <c r="I71" s="235">
        <f t="shared" si="52"/>
        <v>3600000</v>
      </c>
      <c r="J71" s="235">
        <f t="shared" si="52"/>
        <v>5000000</v>
      </c>
      <c r="K71" s="235">
        <f t="shared" si="52"/>
        <v>5185185.1851851856</v>
      </c>
      <c r="L71" s="235">
        <f>L67/L68</f>
        <v>4869047.6190476194</v>
      </c>
      <c r="M71" s="235">
        <f t="shared" si="52"/>
        <v>7142857.1428571427</v>
      </c>
      <c r="N71" s="235">
        <f t="shared" si="52"/>
        <v>6818181.8181818184</v>
      </c>
      <c r="O71" s="235">
        <f t="shared" si="52"/>
        <v>5317368.4210526319</v>
      </c>
      <c r="P71" s="235">
        <f t="shared" si="52"/>
        <v>5600000</v>
      </c>
      <c r="Q71" s="235">
        <f t="shared" si="52"/>
        <v>8695652.173913043</v>
      </c>
      <c r="R71" s="235">
        <f t="shared" si="52"/>
        <v>6666666.666666667</v>
      </c>
      <c r="S71" s="235">
        <f t="shared" si="52"/>
        <v>3000000</v>
      </c>
      <c r="T71" s="235" t="e">
        <f t="shared" si="52"/>
        <v>#DIV/0!</v>
      </c>
      <c r="U71" s="71" t="e">
        <f t="shared" si="52"/>
        <v>#DIV/0!</v>
      </c>
      <c r="V71" s="296" t="e">
        <f t="shared" si="52"/>
        <v>#DIV/0!</v>
      </c>
      <c r="W71" s="71" t="e">
        <f t="shared" si="52"/>
        <v>#DIV/0!</v>
      </c>
      <c r="X71" s="296" t="e">
        <f t="shared" si="52"/>
        <v>#DIV/0!</v>
      </c>
      <c r="Y71" s="71" t="e">
        <f t="shared" si="52"/>
        <v>#DIV/0!</v>
      </c>
      <c r="Z71" s="296" t="e">
        <f t="shared" si="52"/>
        <v>#DIV/0!</v>
      </c>
      <c r="AA71" s="71" t="e">
        <f t="shared" si="52"/>
        <v>#DIV/0!</v>
      </c>
      <c r="AB71" s="296" t="e">
        <f t="shared" si="52"/>
        <v>#DIV/0!</v>
      </c>
      <c r="AC71" s="71" t="e">
        <f t="shared" si="52"/>
        <v>#DIV/0!</v>
      </c>
      <c r="AD71" s="296" t="e">
        <f t="shared" si="52"/>
        <v>#DIV/0!</v>
      </c>
      <c r="AE71" s="71" t="e">
        <f t="shared" si="52"/>
        <v>#DIV/0!</v>
      </c>
      <c r="AF71" s="296" t="e">
        <f t="shared" si="52"/>
        <v>#DIV/0!</v>
      </c>
      <c r="AG71" s="71" t="e">
        <f t="shared" si="52"/>
        <v>#DIV/0!</v>
      </c>
      <c r="AH71" s="296" t="e">
        <f t="shared" si="52"/>
        <v>#DIV/0!</v>
      </c>
      <c r="AI71" s="71" t="e">
        <f t="shared" si="52"/>
        <v>#DIV/0!</v>
      </c>
      <c r="AJ71" s="296" t="e">
        <f t="shared" si="52"/>
        <v>#DIV/0!</v>
      </c>
      <c r="AK71" s="71" t="e">
        <f t="shared" ref="AK71:AR71" si="53">AK67/AK68</f>
        <v>#DIV/0!</v>
      </c>
      <c r="AL71" s="296" t="e">
        <f t="shared" si="53"/>
        <v>#DIV/0!</v>
      </c>
      <c r="AM71" s="71" t="e">
        <f t="shared" si="53"/>
        <v>#DIV/0!</v>
      </c>
      <c r="AN71" s="296" t="e">
        <f t="shared" si="53"/>
        <v>#DIV/0!</v>
      </c>
      <c r="AO71" s="71" t="e">
        <f t="shared" si="53"/>
        <v>#DIV/0!</v>
      </c>
      <c r="AP71" s="296" t="e">
        <f t="shared" si="53"/>
        <v>#DIV/0!</v>
      </c>
      <c r="AQ71" s="71" t="e">
        <f t="shared" si="53"/>
        <v>#DIV/0!</v>
      </c>
      <c r="AR71" s="296" t="e">
        <f t="shared" si="53"/>
        <v>#DIV/0!</v>
      </c>
    </row>
    <row r="72" spans="2:44" ht="18" customHeight="1" x14ac:dyDescent="0.25">
      <c r="B72" s="565"/>
      <c r="C72" s="570"/>
      <c r="D72" s="29" t="s">
        <v>130</v>
      </c>
      <c r="E72" s="235">
        <v>5</v>
      </c>
      <c r="F72" s="294">
        <v>5</v>
      </c>
      <c r="G72" s="235">
        <v>5</v>
      </c>
      <c r="H72" s="294">
        <v>3</v>
      </c>
      <c r="I72" s="235">
        <v>2</v>
      </c>
      <c r="J72" s="294">
        <v>6</v>
      </c>
      <c r="K72" s="235">
        <v>5</v>
      </c>
      <c r="L72" s="294">
        <v>6</v>
      </c>
      <c r="M72" s="235">
        <v>5</v>
      </c>
      <c r="N72" s="294">
        <v>5</v>
      </c>
      <c r="O72" s="235">
        <v>5</v>
      </c>
      <c r="P72" s="294">
        <v>6</v>
      </c>
      <c r="Q72" s="235">
        <v>5</v>
      </c>
      <c r="R72" s="294">
        <v>5</v>
      </c>
      <c r="S72" s="235">
        <v>5</v>
      </c>
      <c r="T72" s="294"/>
      <c r="U72" s="235"/>
      <c r="V72" s="294"/>
      <c r="W72" s="235"/>
      <c r="X72" s="294"/>
      <c r="Y72" s="235"/>
      <c r="Z72" s="294"/>
      <c r="AA72" s="235"/>
      <c r="AB72" s="294"/>
      <c r="AC72" s="235"/>
      <c r="AD72" s="294"/>
      <c r="AE72" s="235"/>
      <c r="AF72" s="294"/>
      <c r="AG72" s="235"/>
      <c r="AH72" s="294"/>
      <c r="AI72" s="235"/>
      <c r="AJ72" s="294"/>
      <c r="AK72" s="235"/>
      <c r="AL72" s="294"/>
      <c r="AM72" s="235"/>
      <c r="AN72" s="294"/>
      <c r="AO72" s="235"/>
      <c r="AP72" s="294"/>
      <c r="AQ72" s="235"/>
      <c r="AR72" s="294"/>
    </row>
    <row r="73" spans="2:44" ht="18" customHeight="1" x14ac:dyDescent="0.25">
      <c r="B73" s="565"/>
      <c r="C73" s="570"/>
      <c r="D73" s="29" t="s">
        <v>131</v>
      </c>
      <c r="E73" s="235">
        <v>13</v>
      </c>
      <c r="F73" s="294">
        <v>15</v>
      </c>
      <c r="G73" s="235">
        <v>26</v>
      </c>
      <c r="H73" s="294">
        <v>15</v>
      </c>
      <c r="I73" s="235"/>
      <c r="J73" s="294">
        <v>12</v>
      </c>
      <c r="K73" s="235">
        <v>16</v>
      </c>
      <c r="L73" s="294">
        <v>13</v>
      </c>
      <c r="M73" s="235">
        <v>16</v>
      </c>
      <c r="N73" s="294">
        <v>14</v>
      </c>
      <c r="O73" s="235">
        <v>15</v>
      </c>
      <c r="P73" s="294">
        <v>14</v>
      </c>
      <c r="Q73" s="235">
        <v>16</v>
      </c>
      <c r="R73" s="294">
        <v>14</v>
      </c>
      <c r="S73" s="235">
        <v>10</v>
      </c>
      <c r="T73" s="294"/>
      <c r="U73" s="235"/>
      <c r="V73" s="294"/>
      <c r="W73" s="235"/>
      <c r="X73" s="294"/>
      <c r="Y73" s="235"/>
      <c r="Z73" s="294"/>
      <c r="AA73" s="235"/>
      <c r="AB73" s="294"/>
      <c r="AC73" s="235"/>
      <c r="AD73" s="294"/>
      <c r="AE73" s="235"/>
      <c r="AF73" s="294"/>
      <c r="AG73" s="235"/>
      <c r="AH73" s="294"/>
      <c r="AI73" s="235"/>
      <c r="AJ73" s="294"/>
      <c r="AK73" s="235"/>
      <c r="AL73" s="294"/>
      <c r="AM73" s="235"/>
      <c r="AN73" s="294"/>
      <c r="AO73" s="235"/>
      <c r="AP73" s="294"/>
      <c r="AQ73" s="235"/>
      <c r="AR73" s="294"/>
    </row>
    <row r="74" spans="2:44" ht="18" customHeight="1" x14ac:dyDescent="0.25">
      <c r="B74" s="565"/>
      <c r="C74" s="570"/>
      <c r="D74" s="29" t="s">
        <v>132</v>
      </c>
      <c r="E74" s="235">
        <v>100</v>
      </c>
      <c r="F74" s="235">
        <v>100</v>
      </c>
      <c r="G74" s="235">
        <v>100</v>
      </c>
      <c r="H74" s="235">
        <v>100</v>
      </c>
      <c r="I74" s="235">
        <v>100</v>
      </c>
      <c r="J74" s="235">
        <v>100</v>
      </c>
      <c r="K74" s="235">
        <v>100</v>
      </c>
      <c r="L74" s="235">
        <v>100</v>
      </c>
      <c r="M74" s="235">
        <v>100</v>
      </c>
      <c r="N74" s="235">
        <v>100</v>
      </c>
      <c r="O74" s="235">
        <v>100</v>
      </c>
      <c r="P74" s="235">
        <v>100</v>
      </c>
      <c r="Q74" s="235">
        <v>100</v>
      </c>
      <c r="R74" s="235">
        <v>100</v>
      </c>
      <c r="S74" s="235">
        <v>100</v>
      </c>
      <c r="T74" s="294"/>
      <c r="U74" s="235"/>
      <c r="V74" s="294"/>
      <c r="W74" s="235"/>
      <c r="X74" s="294"/>
      <c r="Y74" s="235"/>
      <c r="Z74" s="294"/>
      <c r="AA74" s="235"/>
      <c r="AB74" s="294"/>
      <c r="AC74" s="235"/>
      <c r="AD74" s="294"/>
      <c r="AE74" s="235"/>
      <c r="AF74" s="294"/>
      <c r="AG74" s="235"/>
      <c r="AH74" s="294"/>
      <c r="AI74" s="235"/>
      <c r="AJ74" s="294"/>
      <c r="AK74" s="235"/>
      <c r="AL74" s="294"/>
      <c r="AM74" s="235"/>
      <c r="AN74" s="294"/>
      <c r="AO74" s="235"/>
      <c r="AP74" s="294"/>
      <c r="AQ74" s="235"/>
      <c r="AR74" s="294"/>
    </row>
    <row r="75" spans="2:44" ht="18" customHeight="1" x14ac:dyDescent="0.25">
      <c r="B75" s="565"/>
      <c r="C75" s="570"/>
      <c r="D75" s="29" t="s">
        <v>133</v>
      </c>
      <c r="E75" s="235">
        <v>24</v>
      </c>
      <c r="F75" s="235">
        <v>24</v>
      </c>
      <c r="G75" s="235">
        <v>24</v>
      </c>
      <c r="H75" s="235">
        <v>24</v>
      </c>
      <c r="I75" s="235">
        <v>24</v>
      </c>
      <c r="J75" s="235">
        <v>24</v>
      </c>
      <c r="K75" s="235">
        <v>24</v>
      </c>
      <c r="L75" s="235">
        <v>24</v>
      </c>
      <c r="M75" s="235">
        <v>24</v>
      </c>
      <c r="N75" s="235">
        <v>24</v>
      </c>
      <c r="O75" s="235">
        <v>24</v>
      </c>
      <c r="P75" s="235">
        <v>24</v>
      </c>
      <c r="Q75" s="235">
        <v>24</v>
      </c>
      <c r="R75" s="235">
        <v>24</v>
      </c>
      <c r="S75" s="235">
        <v>24</v>
      </c>
      <c r="T75" s="294"/>
      <c r="U75" s="235"/>
      <c r="V75" s="294"/>
      <c r="W75" s="235"/>
      <c r="X75" s="294"/>
      <c r="Y75" s="235"/>
      <c r="Z75" s="294"/>
      <c r="AA75" s="235"/>
      <c r="AB75" s="294"/>
      <c r="AC75" s="235"/>
      <c r="AD75" s="294"/>
      <c r="AE75" s="235"/>
      <c r="AF75" s="294"/>
      <c r="AG75" s="235"/>
      <c r="AH75" s="294"/>
      <c r="AI75" s="235"/>
      <c r="AJ75" s="294"/>
      <c r="AK75" s="235"/>
      <c r="AL75" s="294"/>
      <c r="AM75" s="235"/>
      <c r="AN75" s="294"/>
      <c r="AO75" s="235"/>
      <c r="AP75" s="294"/>
      <c r="AQ75" s="235"/>
      <c r="AR75" s="294"/>
    </row>
    <row r="76" spans="2:44" ht="18" customHeight="1" x14ac:dyDescent="0.25">
      <c r="B76" s="565"/>
      <c r="C76" s="570"/>
      <c r="D76" s="29" t="s">
        <v>134</v>
      </c>
      <c r="E76" s="235">
        <v>16000000</v>
      </c>
      <c r="F76" s="294">
        <v>11000000</v>
      </c>
      <c r="G76" s="235">
        <v>23000000</v>
      </c>
      <c r="H76" s="294">
        <v>12355000</v>
      </c>
      <c r="I76" s="235">
        <v>100000</v>
      </c>
      <c r="J76" s="294">
        <v>400000</v>
      </c>
      <c r="K76" s="235">
        <v>4900000</v>
      </c>
      <c r="L76" s="294">
        <v>15057000</v>
      </c>
      <c r="M76" s="235">
        <v>5500000</v>
      </c>
      <c r="N76" s="294">
        <v>6500000</v>
      </c>
      <c r="O76" s="235">
        <v>12303000</v>
      </c>
      <c r="P76" s="294">
        <v>8000000</v>
      </c>
      <c r="Q76" s="235">
        <v>5000000</v>
      </c>
      <c r="R76" s="294">
        <v>850000</v>
      </c>
      <c r="S76" s="235">
        <v>300000</v>
      </c>
      <c r="T76" s="294"/>
      <c r="U76" s="235"/>
      <c r="V76" s="294"/>
      <c r="W76" s="235"/>
      <c r="X76" s="294"/>
      <c r="Y76" s="235"/>
      <c r="Z76" s="294"/>
      <c r="AA76" s="235"/>
      <c r="AB76" s="294"/>
      <c r="AC76" s="235"/>
      <c r="AD76" s="294"/>
      <c r="AE76" s="235"/>
      <c r="AF76" s="294"/>
      <c r="AG76" s="235"/>
      <c r="AH76" s="294"/>
      <c r="AI76" s="235"/>
      <c r="AJ76" s="294"/>
      <c r="AK76" s="235"/>
      <c r="AL76" s="294"/>
      <c r="AM76" s="235"/>
      <c r="AN76" s="294"/>
      <c r="AO76" s="235"/>
      <c r="AP76" s="294"/>
      <c r="AQ76" s="235"/>
      <c r="AR76" s="294"/>
    </row>
    <row r="77" spans="2:44" ht="18" customHeight="1" thickBot="1" x14ac:dyDescent="0.3">
      <c r="B77" s="567"/>
      <c r="C77" s="571"/>
      <c r="D77" s="229" t="s">
        <v>135</v>
      </c>
      <c r="E77" s="251"/>
      <c r="F77" s="297"/>
      <c r="G77" s="251"/>
      <c r="H77" s="297"/>
      <c r="I77" s="251"/>
      <c r="J77" s="297"/>
      <c r="K77" s="251"/>
      <c r="L77" s="297"/>
      <c r="M77" s="251"/>
      <c r="N77" s="297"/>
      <c r="O77" s="251"/>
      <c r="P77" s="297"/>
      <c r="Q77" s="251"/>
      <c r="R77" s="297"/>
      <c r="S77" s="251"/>
      <c r="T77" s="297"/>
      <c r="U77" s="251"/>
      <c r="V77" s="297"/>
      <c r="W77" s="251"/>
      <c r="X77" s="297"/>
      <c r="Y77" s="251"/>
      <c r="Z77" s="297"/>
      <c r="AA77" s="251"/>
      <c r="AB77" s="297"/>
      <c r="AC77" s="251"/>
      <c r="AD77" s="297"/>
      <c r="AE77" s="251"/>
      <c r="AF77" s="297"/>
      <c r="AG77" s="251"/>
      <c r="AH77" s="297"/>
      <c r="AI77" s="251"/>
      <c r="AJ77" s="297"/>
      <c r="AK77" s="251"/>
      <c r="AL77" s="297"/>
      <c r="AM77" s="251"/>
      <c r="AN77" s="297"/>
      <c r="AO77" s="251"/>
      <c r="AP77" s="297"/>
      <c r="AQ77" s="251"/>
      <c r="AR77" s="297"/>
    </row>
    <row r="78" spans="2:44" ht="18" customHeight="1" x14ac:dyDescent="0.25">
      <c r="B78" s="563" t="s">
        <v>8</v>
      </c>
      <c r="C78" s="569"/>
      <c r="D78" s="67" t="s">
        <v>69</v>
      </c>
      <c r="E78" s="20" t="s">
        <v>543</v>
      </c>
      <c r="F78" s="284" t="s">
        <v>544</v>
      </c>
      <c r="G78" s="20" t="s">
        <v>543</v>
      </c>
      <c r="H78" s="284" t="s">
        <v>545</v>
      </c>
      <c r="I78" s="20" t="s">
        <v>546</v>
      </c>
      <c r="J78" s="284" t="s">
        <v>567</v>
      </c>
      <c r="K78" s="20" t="s">
        <v>547</v>
      </c>
      <c r="L78" s="284" t="s">
        <v>547</v>
      </c>
      <c r="M78" s="20" t="s">
        <v>548</v>
      </c>
      <c r="N78" s="284" t="s">
        <v>549</v>
      </c>
      <c r="O78" s="20" t="s">
        <v>550</v>
      </c>
      <c r="P78" s="284" t="s">
        <v>550</v>
      </c>
      <c r="Q78" s="20" t="s">
        <v>549</v>
      </c>
      <c r="R78" s="284" t="s">
        <v>567</v>
      </c>
      <c r="S78" s="20" t="s">
        <v>585</v>
      </c>
      <c r="T78" s="284"/>
      <c r="U78" s="20"/>
      <c r="V78" s="284"/>
      <c r="W78" s="20"/>
      <c r="X78" s="284"/>
      <c r="Y78" s="20"/>
      <c r="Z78" s="284"/>
      <c r="AA78" s="20"/>
      <c r="AB78" s="284"/>
      <c r="AC78" s="20"/>
      <c r="AD78" s="284"/>
      <c r="AE78" s="20"/>
      <c r="AF78" s="284"/>
      <c r="AG78" s="20"/>
      <c r="AH78" s="284"/>
      <c r="AI78" s="20"/>
      <c r="AJ78" s="284"/>
      <c r="AK78" s="20"/>
      <c r="AL78" s="284"/>
      <c r="AM78" s="20"/>
      <c r="AN78" s="284"/>
      <c r="AO78" s="20"/>
      <c r="AP78" s="284"/>
      <c r="AQ78" s="20"/>
      <c r="AR78" s="284"/>
    </row>
    <row r="79" spans="2:44" ht="18" customHeight="1" thickBot="1" x14ac:dyDescent="0.3">
      <c r="B79" s="565"/>
      <c r="C79" s="570"/>
      <c r="D79" s="26" t="s">
        <v>68</v>
      </c>
      <c r="E79" s="27">
        <v>76</v>
      </c>
      <c r="F79" s="28">
        <v>69</v>
      </c>
      <c r="G79" s="27">
        <v>81</v>
      </c>
      <c r="H79" s="28">
        <v>82</v>
      </c>
      <c r="I79" s="27">
        <v>79</v>
      </c>
      <c r="J79" s="28">
        <v>80</v>
      </c>
      <c r="K79" s="27">
        <v>79</v>
      </c>
      <c r="L79" s="28">
        <v>81</v>
      </c>
      <c r="M79" s="27">
        <v>78</v>
      </c>
      <c r="N79" s="28">
        <v>80</v>
      </c>
      <c r="O79" s="27" t="s">
        <v>611</v>
      </c>
      <c r="P79" s="28" t="s">
        <v>611</v>
      </c>
      <c r="Q79" s="27">
        <v>81</v>
      </c>
      <c r="R79" s="28">
        <v>82</v>
      </c>
      <c r="S79" s="27">
        <v>86</v>
      </c>
      <c r="T79" s="28"/>
      <c r="U79" s="27"/>
      <c r="V79" s="28"/>
      <c r="W79" s="27"/>
      <c r="X79" s="28"/>
      <c r="Y79" s="27"/>
      <c r="Z79" s="28"/>
      <c r="AA79" s="27"/>
      <c r="AB79" s="28"/>
      <c r="AC79" s="27"/>
      <c r="AD79" s="28"/>
      <c r="AE79" s="27"/>
      <c r="AF79" s="28"/>
      <c r="AG79" s="27"/>
      <c r="AH79" s="28"/>
      <c r="AI79" s="27"/>
      <c r="AJ79" s="28"/>
      <c r="AK79" s="27"/>
      <c r="AL79" s="28"/>
      <c r="AM79" s="27"/>
      <c r="AN79" s="28"/>
      <c r="AO79" s="27"/>
      <c r="AP79" s="28"/>
      <c r="AQ79" s="27"/>
      <c r="AR79" s="28"/>
    </row>
    <row r="80" spans="2:44" ht="18" customHeight="1" x14ac:dyDescent="0.25">
      <c r="B80" s="563" t="s">
        <v>24</v>
      </c>
      <c r="C80" s="569"/>
      <c r="D80" s="273" t="s">
        <v>58</v>
      </c>
      <c r="E80" s="274" t="s">
        <v>440</v>
      </c>
      <c r="F80" s="298" t="s">
        <v>440</v>
      </c>
      <c r="G80" s="274" t="s">
        <v>440</v>
      </c>
      <c r="H80" s="298" t="s">
        <v>440</v>
      </c>
      <c r="I80" s="274" t="s">
        <v>438</v>
      </c>
      <c r="J80" s="298" t="s">
        <v>438</v>
      </c>
      <c r="K80" s="274" t="s">
        <v>438</v>
      </c>
      <c r="L80" s="298" t="s">
        <v>438</v>
      </c>
      <c r="M80" s="274" t="s">
        <v>438</v>
      </c>
      <c r="N80" s="298" t="s">
        <v>440</v>
      </c>
      <c r="O80" s="274" t="s">
        <v>440</v>
      </c>
      <c r="P80" s="298" t="s">
        <v>439</v>
      </c>
      <c r="Q80" s="274" t="s">
        <v>440</v>
      </c>
      <c r="R80" s="298" t="s">
        <v>440</v>
      </c>
      <c r="S80" s="274" t="s">
        <v>439</v>
      </c>
      <c r="T80" s="298" t="s">
        <v>440</v>
      </c>
      <c r="U80" s="274" t="s">
        <v>440</v>
      </c>
      <c r="V80" s="298" t="s">
        <v>440</v>
      </c>
      <c r="W80" s="274" t="s">
        <v>440</v>
      </c>
      <c r="X80" s="298" t="s">
        <v>440</v>
      </c>
      <c r="Y80" s="274"/>
      <c r="Z80" s="298"/>
      <c r="AA80" s="274"/>
      <c r="AB80" s="298"/>
      <c r="AC80" s="274"/>
      <c r="AD80" s="298"/>
      <c r="AE80" s="274"/>
      <c r="AF80" s="298"/>
      <c r="AG80" s="274"/>
      <c r="AH80" s="298"/>
      <c r="AI80" s="274"/>
      <c r="AJ80" s="298"/>
      <c r="AK80" s="274"/>
      <c r="AL80" s="298"/>
      <c r="AM80" s="274"/>
      <c r="AN80" s="298"/>
      <c r="AO80" s="274"/>
      <c r="AP80" s="298"/>
      <c r="AQ80" s="274"/>
      <c r="AR80" s="298"/>
    </row>
    <row r="81" spans="2:44" ht="18" customHeight="1" x14ac:dyDescent="0.25">
      <c r="B81" s="565"/>
      <c r="C81" s="570"/>
      <c r="D81" s="275" t="s">
        <v>136</v>
      </c>
      <c r="E81" s="276">
        <f>COUNT(E86,E99,E112,E126)</f>
        <v>2</v>
      </c>
      <c r="F81" s="299">
        <f t="shared" ref="F81:AR81" si="54">COUNT(F86,F99,F112,F126)</f>
        <v>2</v>
      </c>
      <c r="G81" s="276">
        <f t="shared" si="54"/>
        <v>2</v>
      </c>
      <c r="H81" s="299">
        <f t="shared" si="54"/>
        <v>2</v>
      </c>
      <c r="I81" s="276">
        <f t="shared" si="54"/>
        <v>1</v>
      </c>
      <c r="J81" s="299">
        <f t="shared" si="54"/>
        <v>0</v>
      </c>
      <c r="K81" s="276">
        <f t="shared" si="54"/>
        <v>1</v>
      </c>
      <c r="L81" s="299">
        <f t="shared" si="54"/>
        <v>1</v>
      </c>
      <c r="M81" s="276">
        <f t="shared" si="54"/>
        <v>1</v>
      </c>
      <c r="N81" s="299">
        <f t="shared" si="54"/>
        <v>1</v>
      </c>
      <c r="O81" s="276">
        <f t="shared" si="54"/>
        <v>1</v>
      </c>
      <c r="P81" s="299">
        <f t="shared" si="54"/>
        <v>1</v>
      </c>
      <c r="Q81" s="276">
        <f t="shared" si="54"/>
        <v>1</v>
      </c>
      <c r="R81" s="299">
        <f t="shared" si="54"/>
        <v>1</v>
      </c>
      <c r="S81" s="276">
        <f t="shared" si="54"/>
        <v>0</v>
      </c>
      <c r="T81" s="299">
        <f t="shared" si="54"/>
        <v>0</v>
      </c>
      <c r="U81" s="276">
        <f t="shared" si="54"/>
        <v>0</v>
      </c>
      <c r="V81" s="299">
        <f t="shared" si="54"/>
        <v>0</v>
      </c>
      <c r="W81" s="276">
        <f t="shared" si="54"/>
        <v>0</v>
      </c>
      <c r="X81" s="299">
        <f t="shared" si="54"/>
        <v>0</v>
      </c>
      <c r="Y81" s="276">
        <f t="shared" si="54"/>
        <v>0</v>
      </c>
      <c r="Z81" s="299">
        <f t="shared" si="54"/>
        <v>0</v>
      </c>
      <c r="AA81" s="276">
        <f t="shared" si="54"/>
        <v>0</v>
      </c>
      <c r="AB81" s="299">
        <f t="shared" si="54"/>
        <v>0</v>
      </c>
      <c r="AC81" s="276">
        <f t="shared" si="54"/>
        <v>0</v>
      </c>
      <c r="AD81" s="299">
        <f t="shared" si="54"/>
        <v>0</v>
      </c>
      <c r="AE81" s="276">
        <f t="shared" si="54"/>
        <v>0</v>
      </c>
      <c r="AF81" s="299">
        <f t="shared" si="54"/>
        <v>0</v>
      </c>
      <c r="AG81" s="276">
        <f t="shared" si="54"/>
        <v>0</v>
      </c>
      <c r="AH81" s="299">
        <f t="shared" si="54"/>
        <v>0</v>
      </c>
      <c r="AI81" s="276">
        <f t="shared" si="54"/>
        <v>0</v>
      </c>
      <c r="AJ81" s="299">
        <f t="shared" si="54"/>
        <v>0</v>
      </c>
      <c r="AK81" s="276">
        <f t="shared" si="54"/>
        <v>0</v>
      </c>
      <c r="AL81" s="299">
        <f t="shared" si="54"/>
        <v>0</v>
      </c>
      <c r="AM81" s="276">
        <f t="shared" si="54"/>
        <v>0</v>
      </c>
      <c r="AN81" s="299">
        <f t="shared" si="54"/>
        <v>0</v>
      </c>
      <c r="AO81" s="276">
        <f t="shared" si="54"/>
        <v>0</v>
      </c>
      <c r="AP81" s="299">
        <f t="shared" si="54"/>
        <v>0</v>
      </c>
      <c r="AQ81" s="276">
        <f t="shared" si="54"/>
        <v>0</v>
      </c>
      <c r="AR81" s="299">
        <f t="shared" si="54"/>
        <v>0</v>
      </c>
    </row>
    <row r="82" spans="2:44" ht="18" customHeight="1" thickBot="1" x14ac:dyDescent="0.3">
      <c r="B82" s="565"/>
      <c r="C82" s="570"/>
      <c r="D82" s="277" t="s">
        <v>137</v>
      </c>
      <c r="E82" s="278">
        <f>E86+E99+E112+E126</f>
        <v>550000000</v>
      </c>
      <c r="F82" s="300">
        <f t="shared" ref="F82:AR82" si="55">F86+F99+F112+F126</f>
        <v>520000000</v>
      </c>
      <c r="G82" s="278">
        <f t="shared" si="55"/>
        <v>530000000</v>
      </c>
      <c r="H82" s="300">
        <f t="shared" si="55"/>
        <v>565000000</v>
      </c>
      <c r="I82" s="278">
        <f t="shared" si="55"/>
        <v>210000000</v>
      </c>
      <c r="J82" s="300">
        <f t="shared" si="55"/>
        <v>0</v>
      </c>
      <c r="K82" s="278">
        <f t="shared" si="55"/>
        <v>200000000</v>
      </c>
      <c r="L82" s="300">
        <f t="shared" si="55"/>
        <v>190000000</v>
      </c>
      <c r="M82" s="278">
        <f t="shared" si="55"/>
        <v>210000000</v>
      </c>
      <c r="N82" s="300">
        <f t="shared" si="55"/>
        <v>200000000</v>
      </c>
      <c r="O82" s="278">
        <f t="shared" si="55"/>
        <v>200000000</v>
      </c>
      <c r="P82" s="300">
        <f t="shared" si="55"/>
        <v>200000000</v>
      </c>
      <c r="Q82" s="278">
        <f t="shared" si="55"/>
        <v>210000000</v>
      </c>
      <c r="R82" s="300">
        <f t="shared" si="55"/>
        <v>215000000</v>
      </c>
      <c r="S82" s="278">
        <f t="shared" si="55"/>
        <v>0</v>
      </c>
      <c r="T82" s="300">
        <f t="shared" si="55"/>
        <v>0</v>
      </c>
      <c r="U82" s="278">
        <f t="shared" si="55"/>
        <v>0</v>
      </c>
      <c r="V82" s="300">
        <f t="shared" si="55"/>
        <v>0</v>
      </c>
      <c r="W82" s="278">
        <f t="shared" si="55"/>
        <v>0</v>
      </c>
      <c r="X82" s="300">
        <f t="shared" si="55"/>
        <v>0</v>
      </c>
      <c r="Y82" s="278">
        <f t="shared" si="55"/>
        <v>0</v>
      </c>
      <c r="Z82" s="300">
        <f t="shared" si="55"/>
        <v>0</v>
      </c>
      <c r="AA82" s="278">
        <f t="shared" si="55"/>
        <v>0</v>
      </c>
      <c r="AB82" s="300">
        <f t="shared" si="55"/>
        <v>0</v>
      </c>
      <c r="AC82" s="278">
        <f t="shared" si="55"/>
        <v>0</v>
      </c>
      <c r="AD82" s="300">
        <f t="shared" si="55"/>
        <v>0</v>
      </c>
      <c r="AE82" s="278">
        <f t="shared" si="55"/>
        <v>0</v>
      </c>
      <c r="AF82" s="300">
        <f t="shared" si="55"/>
        <v>0</v>
      </c>
      <c r="AG82" s="278">
        <f t="shared" si="55"/>
        <v>0</v>
      </c>
      <c r="AH82" s="300">
        <f t="shared" si="55"/>
        <v>0</v>
      </c>
      <c r="AI82" s="278">
        <f t="shared" si="55"/>
        <v>0</v>
      </c>
      <c r="AJ82" s="300">
        <f t="shared" si="55"/>
        <v>0</v>
      </c>
      <c r="AK82" s="278">
        <f t="shared" si="55"/>
        <v>0</v>
      </c>
      <c r="AL82" s="300">
        <f t="shared" si="55"/>
        <v>0</v>
      </c>
      <c r="AM82" s="278">
        <f t="shared" si="55"/>
        <v>0</v>
      </c>
      <c r="AN82" s="300">
        <f t="shared" si="55"/>
        <v>0</v>
      </c>
      <c r="AO82" s="278">
        <f t="shared" si="55"/>
        <v>0</v>
      </c>
      <c r="AP82" s="300">
        <f t="shared" si="55"/>
        <v>0</v>
      </c>
      <c r="AQ82" s="278">
        <f t="shared" si="55"/>
        <v>0</v>
      </c>
      <c r="AR82" s="300">
        <f t="shared" si="55"/>
        <v>0</v>
      </c>
    </row>
    <row r="83" spans="2:44" ht="18" customHeight="1" x14ac:dyDescent="0.25">
      <c r="B83" s="565"/>
      <c r="C83" s="570"/>
      <c r="D83" s="67" t="s">
        <v>291</v>
      </c>
      <c r="E83" s="241" t="s">
        <v>551</v>
      </c>
      <c r="F83" s="241" t="s">
        <v>551</v>
      </c>
      <c r="G83" s="241" t="s">
        <v>551</v>
      </c>
      <c r="H83" s="241" t="s">
        <v>551</v>
      </c>
      <c r="I83" s="241"/>
      <c r="J83" s="241"/>
      <c r="K83" s="241" t="s">
        <v>552</v>
      </c>
      <c r="L83" s="241" t="s">
        <v>552</v>
      </c>
      <c r="M83" s="241" t="s">
        <v>553</v>
      </c>
      <c r="N83" s="241" t="s">
        <v>553</v>
      </c>
      <c r="O83" s="241" t="s">
        <v>554</v>
      </c>
      <c r="P83" s="241" t="s">
        <v>554</v>
      </c>
      <c r="Q83" s="241" t="s">
        <v>553</v>
      </c>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54"/>
      <c r="AP83" s="301"/>
      <c r="AQ83" s="254"/>
      <c r="AR83" s="301"/>
    </row>
    <row r="84" spans="2:44" ht="18" customHeight="1" x14ac:dyDescent="0.25">
      <c r="B84" s="565"/>
      <c r="C84" s="570"/>
      <c r="D84" s="21" t="s">
        <v>292</v>
      </c>
      <c r="E84" s="241">
        <v>0</v>
      </c>
      <c r="F84" s="241">
        <v>0</v>
      </c>
      <c r="G84" s="241">
        <v>0</v>
      </c>
      <c r="H84" s="241">
        <v>0</v>
      </c>
      <c r="I84" s="241">
        <v>0</v>
      </c>
      <c r="J84" s="241"/>
      <c r="K84" s="241">
        <v>0</v>
      </c>
      <c r="L84" s="241">
        <v>0</v>
      </c>
      <c r="M84" s="241">
        <v>0</v>
      </c>
      <c r="N84" s="241">
        <v>0</v>
      </c>
      <c r="O84" s="241">
        <v>0</v>
      </c>
      <c r="P84" s="241">
        <v>0</v>
      </c>
      <c r="Q84" s="241">
        <v>0</v>
      </c>
      <c r="R84" s="241">
        <v>0</v>
      </c>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53"/>
      <c r="AP84" s="302"/>
      <c r="AQ84" s="253"/>
      <c r="AR84" s="302"/>
    </row>
    <row r="85" spans="2:44" ht="18" customHeight="1" x14ac:dyDescent="0.25">
      <c r="B85" s="565"/>
      <c r="C85" s="570"/>
      <c r="D85" s="21" t="s">
        <v>138</v>
      </c>
      <c r="E85" s="241">
        <v>13</v>
      </c>
      <c r="F85" s="303">
        <v>13</v>
      </c>
      <c r="G85" s="241">
        <v>13</v>
      </c>
      <c r="H85" s="303"/>
      <c r="I85" s="241"/>
      <c r="J85" s="303">
        <v>8</v>
      </c>
      <c r="K85" s="241">
        <v>12</v>
      </c>
      <c r="L85" s="303"/>
      <c r="M85" s="241">
        <v>9</v>
      </c>
      <c r="N85" s="303">
        <v>10</v>
      </c>
      <c r="O85" s="241"/>
      <c r="P85" s="303">
        <v>12</v>
      </c>
      <c r="Q85" s="241">
        <v>12</v>
      </c>
      <c r="R85" s="303">
        <v>7</v>
      </c>
      <c r="S85" s="241"/>
      <c r="T85" s="303"/>
      <c r="U85" s="241"/>
      <c r="V85" s="303"/>
      <c r="W85" s="241"/>
      <c r="X85" s="303"/>
      <c r="Y85" s="241"/>
      <c r="Z85" s="303"/>
      <c r="AA85" s="241"/>
      <c r="AB85" s="303"/>
      <c r="AC85" s="241"/>
      <c r="AD85" s="303"/>
      <c r="AE85" s="241"/>
      <c r="AF85" s="303"/>
      <c r="AG85" s="241"/>
      <c r="AH85" s="303"/>
      <c r="AI85" s="241"/>
      <c r="AJ85" s="303"/>
      <c r="AK85" s="241"/>
      <c r="AL85" s="303"/>
      <c r="AM85" s="241"/>
      <c r="AN85" s="303"/>
      <c r="AO85" s="241"/>
      <c r="AP85" s="303"/>
      <c r="AQ85" s="241"/>
      <c r="AR85" s="303"/>
    </row>
    <row r="86" spans="2:44" ht="18" customHeight="1" x14ac:dyDescent="0.25">
      <c r="B86" s="565"/>
      <c r="C86" s="570"/>
      <c r="D86" s="21" t="s">
        <v>35</v>
      </c>
      <c r="E86" s="241">
        <v>180000000</v>
      </c>
      <c r="F86" s="303">
        <v>185000000</v>
      </c>
      <c r="G86" s="241">
        <v>190000000</v>
      </c>
      <c r="H86" s="303">
        <v>180000000</v>
      </c>
      <c r="I86" s="241">
        <v>210000000</v>
      </c>
      <c r="J86" s="303"/>
      <c r="K86" s="241">
        <v>200000000</v>
      </c>
      <c r="L86" s="303">
        <v>190000000</v>
      </c>
      <c r="M86" s="241">
        <v>210000000</v>
      </c>
      <c r="N86" s="303">
        <v>200000000</v>
      </c>
      <c r="O86" s="241">
        <v>200000000</v>
      </c>
      <c r="P86" s="303">
        <v>200000000</v>
      </c>
      <c r="Q86" s="241">
        <v>210000000</v>
      </c>
      <c r="R86" s="303">
        <v>215000000</v>
      </c>
      <c r="S86" s="241"/>
      <c r="T86" s="303"/>
      <c r="U86" s="241"/>
      <c r="V86" s="303"/>
      <c r="W86" s="241"/>
      <c r="X86" s="303"/>
      <c r="Y86" s="241"/>
      <c r="Z86" s="303"/>
      <c r="AA86" s="241"/>
      <c r="AB86" s="303"/>
      <c r="AC86" s="241"/>
      <c r="AD86" s="303"/>
      <c r="AE86" s="241"/>
      <c r="AF86" s="303"/>
      <c r="AG86" s="241"/>
      <c r="AH86" s="303"/>
      <c r="AI86" s="241"/>
      <c r="AJ86" s="303"/>
      <c r="AK86" s="241"/>
      <c r="AL86" s="303"/>
      <c r="AM86" s="241"/>
      <c r="AN86" s="303"/>
      <c r="AO86" s="241"/>
      <c r="AP86" s="303"/>
      <c r="AQ86" s="241"/>
      <c r="AR86" s="303"/>
    </row>
    <row r="87" spans="2:44" ht="18" customHeight="1" x14ac:dyDescent="0.25">
      <c r="B87" s="565"/>
      <c r="C87" s="570"/>
      <c r="D87" s="21" t="s">
        <v>139</v>
      </c>
      <c r="E87" s="241">
        <v>12</v>
      </c>
      <c r="F87" s="241">
        <v>12</v>
      </c>
      <c r="G87" s="241">
        <v>12</v>
      </c>
      <c r="H87" s="241">
        <v>12</v>
      </c>
      <c r="I87" s="241">
        <v>12</v>
      </c>
      <c r="J87" s="241">
        <v>0</v>
      </c>
      <c r="K87" s="241">
        <v>12</v>
      </c>
      <c r="L87" s="241">
        <v>12</v>
      </c>
      <c r="M87" s="241">
        <v>12</v>
      </c>
      <c r="N87" s="241">
        <v>12</v>
      </c>
      <c r="O87" s="241">
        <v>12</v>
      </c>
      <c r="P87" s="241">
        <v>12</v>
      </c>
      <c r="Q87" s="241">
        <v>12</v>
      </c>
      <c r="R87" s="241">
        <v>12</v>
      </c>
      <c r="S87" s="241">
        <v>0</v>
      </c>
      <c r="T87" s="303"/>
      <c r="U87" s="241"/>
      <c r="V87" s="303"/>
      <c r="W87" s="241"/>
      <c r="X87" s="303"/>
      <c r="Y87" s="241"/>
      <c r="Z87" s="303"/>
      <c r="AA87" s="241"/>
      <c r="AB87" s="303"/>
      <c r="AC87" s="241"/>
      <c r="AD87" s="303"/>
      <c r="AE87" s="241"/>
      <c r="AF87" s="303"/>
      <c r="AG87" s="241"/>
      <c r="AH87" s="303"/>
      <c r="AI87" s="241"/>
      <c r="AJ87" s="303"/>
      <c r="AK87" s="241"/>
      <c r="AL87" s="303"/>
      <c r="AM87" s="241"/>
      <c r="AN87" s="303"/>
      <c r="AO87" s="241"/>
      <c r="AP87" s="303"/>
      <c r="AQ87" s="241"/>
      <c r="AR87" s="303"/>
    </row>
    <row r="88" spans="2:44" ht="18" customHeight="1" x14ac:dyDescent="0.25">
      <c r="B88" s="565"/>
      <c r="C88" s="570"/>
      <c r="D88" s="21" t="s">
        <v>140</v>
      </c>
      <c r="E88" s="241" t="s">
        <v>555</v>
      </c>
      <c r="F88" s="303" t="s">
        <v>555</v>
      </c>
      <c r="G88" s="241" t="s">
        <v>555</v>
      </c>
      <c r="H88" s="303" t="s">
        <v>556</v>
      </c>
      <c r="I88" s="241"/>
      <c r="J88" s="303"/>
      <c r="K88" s="241" t="s">
        <v>557</v>
      </c>
      <c r="L88" s="303" t="s">
        <v>558</v>
      </c>
      <c r="M88" s="241" t="s">
        <v>564</v>
      </c>
      <c r="N88" s="303" t="s">
        <v>559</v>
      </c>
      <c r="O88" s="241"/>
      <c r="P88" s="303"/>
      <c r="Q88" s="241" t="s">
        <v>559</v>
      </c>
      <c r="R88" s="303" t="s">
        <v>574</v>
      </c>
      <c r="S88" s="241"/>
      <c r="T88" s="303"/>
      <c r="U88" s="241"/>
      <c r="V88" s="303"/>
      <c r="W88" s="241"/>
      <c r="X88" s="303"/>
      <c r="Y88" s="241"/>
      <c r="Z88" s="303"/>
      <c r="AA88" s="241"/>
      <c r="AB88" s="303"/>
      <c r="AC88" s="241"/>
      <c r="AD88" s="303"/>
      <c r="AE88" s="241"/>
      <c r="AF88" s="303"/>
      <c r="AG88" s="241"/>
      <c r="AH88" s="303"/>
      <c r="AI88" s="241"/>
      <c r="AJ88" s="303"/>
      <c r="AK88" s="241"/>
      <c r="AL88" s="303"/>
      <c r="AM88" s="241"/>
      <c r="AN88" s="303"/>
      <c r="AO88" s="241"/>
      <c r="AP88" s="303"/>
      <c r="AQ88" s="241"/>
      <c r="AR88" s="303"/>
    </row>
    <row r="89" spans="2:44" ht="18" customHeight="1" x14ac:dyDescent="0.25">
      <c r="B89" s="565"/>
      <c r="C89" s="570"/>
      <c r="D89" s="21" t="s">
        <v>141</v>
      </c>
      <c r="E89" s="241">
        <v>18</v>
      </c>
      <c r="F89" s="303">
        <v>18</v>
      </c>
      <c r="G89" s="241">
        <v>18</v>
      </c>
      <c r="H89" s="303">
        <v>18</v>
      </c>
      <c r="I89" s="241"/>
      <c r="J89" s="303"/>
      <c r="K89" s="241">
        <v>21</v>
      </c>
      <c r="L89" s="303">
        <v>18</v>
      </c>
      <c r="M89" s="241">
        <v>21</v>
      </c>
      <c r="N89" s="303">
        <v>21</v>
      </c>
      <c r="O89" s="241">
        <v>21</v>
      </c>
      <c r="P89" s="303">
        <v>21</v>
      </c>
      <c r="Q89" s="241">
        <v>21</v>
      </c>
      <c r="R89" s="303">
        <v>24</v>
      </c>
      <c r="S89" s="241"/>
      <c r="T89" s="303"/>
      <c r="U89" s="241"/>
      <c r="V89" s="303"/>
      <c r="W89" s="241"/>
      <c r="X89" s="303"/>
      <c r="Y89" s="241"/>
      <c r="Z89" s="303"/>
      <c r="AA89" s="241"/>
      <c r="AB89" s="303"/>
      <c r="AC89" s="241"/>
      <c r="AD89" s="303"/>
      <c r="AE89" s="241"/>
      <c r="AF89" s="303"/>
      <c r="AG89" s="241"/>
      <c r="AH89" s="303"/>
      <c r="AI89" s="241"/>
      <c r="AJ89" s="303"/>
      <c r="AK89" s="241"/>
      <c r="AL89" s="303"/>
      <c r="AM89" s="241"/>
      <c r="AN89" s="303"/>
      <c r="AO89" s="241"/>
      <c r="AP89" s="303"/>
      <c r="AQ89" s="241"/>
      <c r="AR89" s="303"/>
    </row>
    <row r="90" spans="2:44" ht="18" customHeight="1" x14ac:dyDescent="0.25">
      <c r="B90" s="565"/>
      <c r="C90" s="570"/>
      <c r="D90" s="21" t="s">
        <v>142</v>
      </c>
      <c r="E90" s="241">
        <v>24</v>
      </c>
      <c r="F90" s="241">
        <v>24</v>
      </c>
      <c r="G90" s="241">
        <v>24</v>
      </c>
      <c r="H90" s="241">
        <v>24</v>
      </c>
      <c r="I90" s="241">
        <v>24</v>
      </c>
      <c r="J90" s="241">
        <v>0</v>
      </c>
      <c r="K90" s="241">
        <v>24</v>
      </c>
      <c r="L90" s="241">
        <v>24</v>
      </c>
      <c r="M90" s="241">
        <v>24</v>
      </c>
      <c r="N90" s="241">
        <v>24</v>
      </c>
      <c r="O90" s="241">
        <v>24</v>
      </c>
      <c r="P90" s="241">
        <v>24</v>
      </c>
      <c r="Q90" s="241">
        <v>24</v>
      </c>
      <c r="R90" s="241">
        <v>24</v>
      </c>
      <c r="S90" s="241">
        <v>24</v>
      </c>
      <c r="T90" s="303"/>
      <c r="U90" s="241"/>
      <c r="V90" s="303"/>
      <c r="W90" s="241"/>
      <c r="X90" s="303"/>
      <c r="Y90" s="241"/>
      <c r="Z90" s="303"/>
      <c r="AA90" s="241"/>
      <c r="AB90" s="303"/>
      <c r="AC90" s="241"/>
      <c r="AD90" s="303"/>
      <c r="AE90" s="241"/>
      <c r="AF90" s="303"/>
      <c r="AG90" s="241"/>
      <c r="AH90" s="303"/>
      <c r="AI90" s="241"/>
      <c r="AJ90" s="303"/>
      <c r="AK90" s="241"/>
      <c r="AL90" s="303"/>
      <c r="AM90" s="241"/>
      <c r="AN90" s="303"/>
      <c r="AO90" s="241"/>
      <c r="AP90" s="303"/>
      <c r="AQ90" s="241"/>
      <c r="AR90" s="303"/>
    </row>
    <row r="91" spans="2:44" ht="18" customHeight="1" x14ac:dyDescent="0.25">
      <c r="B91" s="565"/>
      <c r="C91" s="570"/>
      <c r="D91" s="21" t="s">
        <v>41</v>
      </c>
      <c r="E91" s="241">
        <v>12</v>
      </c>
      <c r="F91" s="303">
        <v>11</v>
      </c>
      <c r="G91" s="241">
        <v>9</v>
      </c>
      <c r="H91" s="303">
        <v>15</v>
      </c>
      <c r="I91" s="241">
        <v>15</v>
      </c>
      <c r="J91" s="303"/>
      <c r="K91" s="241">
        <v>15</v>
      </c>
      <c r="L91" s="303">
        <v>17</v>
      </c>
      <c r="M91" s="241">
        <v>15</v>
      </c>
      <c r="N91" s="303">
        <v>14</v>
      </c>
      <c r="O91" s="241">
        <v>11</v>
      </c>
      <c r="P91" s="303">
        <v>14</v>
      </c>
      <c r="Q91" s="241">
        <v>13</v>
      </c>
      <c r="R91" s="303">
        <v>16</v>
      </c>
      <c r="S91" s="241"/>
      <c r="T91" s="303"/>
      <c r="U91" s="241"/>
      <c r="V91" s="303"/>
      <c r="W91" s="241"/>
      <c r="X91" s="303"/>
      <c r="Y91" s="241"/>
      <c r="Z91" s="303"/>
      <c r="AA91" s="241"/>
      <c r="AB91" s="303"/>
      <c r="AC91" s="241"/>
      <c r="AD91" s="303"/>
      <c r="AE91" s="241"/>
      <c r="AF91" s="303"/>
      <c r="AG91" s="241"/>
      <c r="AH91" s="303"/>
      <c r="AI91" s="241"/>
      <c r="AJ91" s="303"/>
      <c r="AK91" s="241"/>
      <c r="AL91" s="303"/>
      <c r="AM91" s="241"/>
      <c r="AN91" s="303"/>
      <c r="AO91" s="241"/>
      <c r="AP91" s="303"/>
      <c r="AQ91" s="241"/>
      <c r="AR91" s="303"/>
    </row>
    <row r="92" spans="2:44" ht="18" customHeight="1" x14ac:dyDescent="0.25">
      <c r="B92" s="565"/>
      <c r="C92" s="570"/>
      <c r="D92" s="21" t="s">
        <v>143</v>
      </c>
      <c r="E92" s="241">
        <v>10800000</v>
      </c>
      <c r="F92" s="303">
        <v>11100000</v>
      </c>
      <c r="G92" s="241">
        <v>11400000</v>
      </c>
      <c r="H92" s="303">
        <v>10800000</v>
      </c>
      <c r="I92" s="241"/>
      <c r="J92" s="303"/>
      <c r="K92" s="241">
        <v>6000000</v>
      </c>
      <c r="L92" s="303">
        <v>11400000</v>
      </c>
      <c r="M92" s="241">
        <v>6300000</v>
      </c>
      <c r="N92" s="303">
        <v>6000000</v>
      </c>
      <c r="O92" s="241">
        <v>12000000</v>
      </c>
      <c r="P92" s="303">
        <v>12000000</v>
      </c>
      <c r="Q92" s="241">
        <v>6300000</v>
      </c>
      <c r="R92" s="303"/>
      <c r="S92" s="241"/>
      <c r="T92" s="303"/>
      <c r="U92" s="241"/>
      <c r="V92" s="303"/>
      <c r="W92" s="241"/>
      <c r="X92" s="303"/>
      <c r="Y92" s="241"/>
      <c r="Z92" s="303"/>
      <c r="AA92" s="241"/>
      <c r="AB92" s="303"/>
      <c r="AC92" s="241"/>
      <c r="AD92" s="303"/>
      <c r="AE92" s="241"/>
      <c r="AF92" s="303"/>
      <c r="AG92" s="241"/>
      <c r="AH92" s="303"/>
      <c r="AI92" s="241"/>
      <c r="AJ92" s="303"/>
      <c r="AK92" s="241"/>
      <c r="AL92" s="303"/>
      <c r="AM92" s="241"/>
      <c r="AN92" s="303"/>
      <c r="AO92" s="241"/>
      <c r="AP92" s="303"/>
      <c r="AQ92" s="241"/>
      <c r="AR92" s="303"/>
    </row>
    <row r="93" spans="2:44" ht="18" customHeight="1" x14ac:dyDescent="0.25">
      <c r="B93" s="565"/>
      <c r="C93" s="570"/>
      <c r="D93" s="21" t="s">
        <v>144</v>
      </c>
      <c r="E93" s="241">
        <v>10000000</v>
      </c>
      <c r="F93" s="303">
        <v>10000000</v>
      </c>
      <c r="G93" s="241">
        <v>10000000</v>
      </c>
      <c r="H93" s="303">
        <v>10000000</v>
      </c>
      <c r="I93" s="241">
        <v>5000000</v>
      </c>
      <c r="J93" s="303"/>
      <c r="K93" s="241">
        <v>10000000</v>
      </c>
      <c r="L93" s="303">
        <v>10000000</v>
      </c>
      <c r="M93" s="241">
        <v>14000000</v>
      </c>
      <c r="N93" s="303">
        <v>10000000</v>
      </c>
      <c r="O93" s="241">
        <v>5000000</v>
      </c>
      <c r="P93" s="303">
        <v>10000000</v>
      </c>
      <c r="Q93" s="241">
        <v>10000000</v>
      </c>
      <c r="R93" s="303">
        <v>12500000</v>
      </c>
      <c r="S93" s="241"/>
      <c r="T93" s="303"/>
      <c r="U93" s="241"/>
      <c r="V93" s="303"/>
      <c r="W93" s="241"/>
      <c r="X93" s="303"/>
      <c r="Y93" s="241"/>
      <c r="Z93" s="303"/>
      <c r="AA93" s="241"/>
      <c r="AB93" s="303"/>
      <c r="AC93" s="241"/>
      <c r="AD93" s="303"/>
      <c r="AE93" s="241"/>
      <c r="AF93" s="303"/>
      <c r="AG93" s="241"/>
      <c r="AH93" s="303"/>
      <c r="AI93" s="241"/>
      <c r="AJ93" s="303"/>
      <c r="AK93" s="241"/>
      <c r="AL93" s="303"/>
      <c r="AM93" s="241"/>
      <c r="AN93" s="303"/>
      <c r="AO93" s="241"/>
      <c r="AP93" s="303"/>
      <c r="AQ93" s="241"/>
      <c r="AR93" s="303"/>
    </row>
    <row r="94" spans="2:44" ht="18" customHeight="1" x14ac:dyDescent="0.25">
      <c r="B94" s="565"/>
      <c r="C94" s="570"/>
      <c r="D94" s="21" t="s">
        <v>145</v>
      </c>
      <c r="E94" s="255">
        <v>20000000</v>
      </c>
      <c r="F94" s="304">
        <v>20000000</v>
      </c>
      <c r="G94" s="255">
        <v>30000000</v>
      </c>
      <c r="H94" s="304">
        <v>20000000</v>
      </c>
      <c r="I94" s="255">
        <v>20000000</v>
      </c>
      <c r="J94" s="304"/>
      <c r="K94" s="255">
        <v>25000000</v>
      </c>
      <c r="L94" s="304">
        <v>20000000</v>
      </c>
      <c r="M94" s="255">
        <v>14000000</v>
      </c>
      <c r="N94" s="304">
        <v>20000000</v>
      </c>
      <c r="O94" s="255">
        <v>30000000</v>
      </c>
      <c r="P94" s="304">
        <v>20000000</v>
      </c>
      <c r="Q94" s="255">
        <v>30000000</v>
      </c>
      <c r="R94" s="304">
        <v>25000000</v>
      </c>
      <c r="S94" s="255"/>
      <c r="T94" s="304"/>
      <c r="U94" s="255"/>
      <c r="V94" s="304"/>
      <c r="W94" s="255"/>
      <c r="X94" s="304"/>
      <c r="Y94" s="255"/>
      <c r="Z94" s="304"/>
      <c r="AA94" s="255"/>
      <c r="AB94" s="304"/>
      <c r="AC94" s="255"/>
      <c r="AD94" s="304"/>
      <c r="AE94" s="255"/>
      <c r="AF94" s="304"/>
      <c r="AG94" s="255"/>
      <c r="AH94" s="304"/>
      <c r="AI94" s="255"/>
      <c r="AJ94" s="304"/>
      <c r="AK94" s="255"/>
      <c r="AL94" s="304"/>
      <c r="AM94" s="255"/>
      <c r="AN94" s="304"/>
      <c r="AO94" s="255"/>
      <c r="AP94" s="304"/>
      <c r="AQ94" s="255"/>
      <c r="AR94" s="304"/>
    </row>
    <row r="95" spans="2:44" ht="18" customHeight="1" thickBot="1" x14ac:dyDescent="0.3">
      <c r="B95" s="565"/>
      <c r="C95" s="570"/>
      <c r="D95" s="26" t="s">
        <v>146</v>
      </c>
      <c r="E95" s="256">
        <f>E86/E91</f>
        <v>15000000</v>
      </c>
      <c r="F95" s="305">
        <f t="shared" ref="F95:AR95" si="56">F86/F91</f>
        <v>16818181.818181816</v>
      </c>
      <c r="G95" s="256">
        <f t="shared" si="56"/>
        <v>21111111.111111112</v>
      </c>
      <c r="H95" s="305">
        <f t="shared" si="56"/>
        <v>12000000</v>
      </c>
      <c r="I95" s="256">
        <f t="shared" si="56"/>
        <v>14000000</v>
      </c>
      <c r="J95" s="305" t="e">
        <f t="shared" si="56"/>
        <v>#DIV/0!</v>
      </c>
      <c r="K95" s="256">
        <f t="shared" si="56"/>
        <v>13333333.333333334</v>
      </c>
      <c r="L95" s="305">
        <f t="shared" si="56"/>
        <v>11176470.588235294</v>
      </c>
      <c r="M95" s="256">
        <f t="shared" si="56"/>
        <v>14000000</v>
      </c>
      <c r="N95" s="305">
        <f t="shared" si="56"/>
        <v>14285714.285714285</v>
      </c>
      <c r="O95" s="256">
        <f t="shared" si="56"/>
        <v>18181818.181818184</v>
      </c>
      <c r="P95" s="305">
        <f t="shared" si="56"/>
        <v>14285714.285714285</v>
      </c>
      <c r="Q95" s="256">
        <f t="shared" si="56"/>
        <v>16153846.153846154</v>
      </c>
      <c r="R95" s="305">
        <f t="shared" si="56"/>
        <v>13437500</v>
      </c>
      <c r="S95" s="256" t="e">
        <f t="shared" si="56"/>
        <v>#DIV/0!</v>
      </c>
      <c r="T95" s="305" t="e">
        <f t="shared" si="56"/>
        <v>#DIV/0!</v>
      </c>
      <c r="U95" s="256" t="e">
        <f t="shared" si="56"/>
        <v>#DIV/0!</v>
      </c>
      <c r="V95" s="305" t="e">
        <f t="shared" si="56"/>
        <v>#DIV/0!</v>
      </c>
      <c r="W95" s="256" t="e">
        <f t="shared" si="56"/>
        <v>#DIV/0!</v>
      </c>
      <c r="X95" s="305" t="e">
        <f t="shared" si="56"/>
        <v>#DIV/0!</v>
      </c>
      <c r="Y95" s="256" t="e">
        <f t="shared" si="56"/>
        <v>#DIV/0!</v>
      </c>
      <c r="Z95" s="305" t="e">
        <f t="shared" si="56"/>
        <v>#DIV/0!</v>
      </c>
      <c r="AA95" s="256" t="e">
        <f t="shared" si="56"/>
        <v>#DIV/0!</v>
      </c>
      <c r="AB95" s="305" t="e">
        <f t="shared" si="56"/>
        <v>#DIV/0!</v>
      </c>
      <c r="AC95" s="256" t="e">
        <f t="shared" si="56"/>
        <v>#DIV/0!</v>
      </c>
      <c r="AD95" s="305" t="e">
        <f t="shared" si="56"/>
        <v>#DIV/0!</v>
      </c>
      <c r="AE95" s="256" t="e">
        <f t="shared" si="56"/>
        <v>#DIV/0!</v>
      </c>
      <c r="AF95" s="305" t="e">
        <f t="shared" si="56"/>
        <v>#DIV/0!</v>
      </c>
      <c r="AG95" s="256" t="e">
        <f t="shared" si="56"/>
        <v>#DIV/0!</v>
      </c>
      <c r="AH95" s="305" t="e">
        <f t="shared" si="56"/>
        <v>#DIV/0!</v>
      </c>
      <c r="AI95" s="256" t="e">
        <f t="shared" si="56"/>
        <v>#DIV/0!</v>
      </c>
      <c r="AJ95" s="305" t="e">
        <f t="shared" si="56"/>
        <v>#DIV/0!</v>
      </c>
      <c r="AK95" s="256" t="e">
        <f t="shared" si="56"/>
        <v>#DIV/0!</v>
      </c>
      <c r="AL95" s="305" t="e">
        <f t="shared" si="56"/>
        <v>#DIV/0!</v>
      </c>
      <c r="AM95" s="256" t="e">
        <f t="shared" si="56"/>
        <v>#DIV/0!</v>
      </c>
      <c r="AN95" s="305" t="e">
        <f t="shared" si="56"/>
        <v>#DIV/0!</v>
      </c>
      <c r="AO95" s="256" t="e">
        <f t="shared" si="56"/>
        <v>#DIV/0!</v>
      </c>
      <c r="AP95" s="305" t="e">
        <f t="shared" si="56"/>
        <v>#DIV/0!</v>
      </c>
      <c r="AQ95" s="256" t="e">
        <f t="shared" si="56"/>
        <v>#DIV/0!</v>
      </c>
      <c r="AR95" s="305" t="e">
        <f t="shared" si="56"/>
        <v>#DIV/0!</v>
      </c>
    </row>
    <row r="96" spans="2:44" ht="18" customHeight="1" x14ac:dyDescent="0.25">
      <c r="B96" s="565"/>
      <c r="C96" s="570"/>
      <c r="D96" s="257" t="s">
        <v>293</v>
      </c>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58"/>
      <c r="AP96" s="306"/>
      <c r="AQ96" s="258"/>
      <c r="AR96" s="306"/>
    </row>
    <row r="97" spans="2:44" ht="18" customHeight="1" x14ac:dyDescent="0.25">
      <c r="B97" s="565"/>
      <c r="C97" s="570"/>
      <c r="D97" s="259" t="s">
        <v>294</v>
      </c>
      <c r="E97" s="261">
        <v>0</v>
      </c>
      <c r="F97" s="261">
        <v>0</v>
      </c>
      <c r="G97" s="261">
        <v>0</v>
      </c>
      <c r="H97" s="261">
        <v>0</v>
      </c>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0"/>
      <c r="AP97" s="307"/>
      <c r="AQ97" s="260"/>
      <c r="AR97" s="307"/>
    </row>
    <row r="98" spans="2:44" ht="18" customHeight="1" x14ac:dyDescent="0.25">
      <c r="B98" s="565"/>
      <c r="C98" s="570"/>
      <c r="D98" s="259" t="s">
        <v>147</v>
      </c>
      <c r="E98" s="261">
        <v>5</v>
      </c>
      <c r="F98" s="308">
        <v>7</v>
      </c>
      <c r="G98" s="261">
        <v>5</v>
      </c>
      <c r="H98" s="308">
        <v>5</v>
      </c>
      <c r="I98" s="261">
        <v>6</v>
      </c>
      <c r="J98" s="308"/>
      <c r="K98" s="261"/>
      <c r="L98" s="308"/>
      <c r="M98" s="261"/>
      <c r="N98" s="308"/>
      <c r="O98" s="261"/>
      <c r="P98" s="308"/>
      <c r="Q98" s="261"/>
      <c r="R98" s="308"/>
      <c r="S98" s="261"/>
      <c r="T98" s="308"/>
      <c r="U98" s="261"/>
      <c r="V98" s="308"/>
      <c r="W98" s="261"/>
      <c r="X98" s="308"/>
      <c r="Y98" s="261"/>
      <c r="Z98" s="308"/>
      <c r="AA98" s="261"/>
      <c r="AB98" s="308"/>
      <c r="AC98" s="261"/>
      <c r="AD98" s="308"/>
      <c r="AE98" s="261"/>
      <c r="AF98" s="308"/>
      <c r="AG98" s="261"/>
      <c r="AH98" s="308"/>
      <c r="AI98" s="261"/>
      <c r="AJ98" s="308"/>
      <c r="AK98" s="261"/>
      <c r="AL98" s="308"/>
      <c r="AM98" s="261"/>
      <c r="AN98" s="308"/>
      <c r="AO98" s="261"/>
      <c r="AP98" s="308"/>
      <c r="AQ98" s="261"/>
      <c r="AR98" s="308"/>
    </row>
    <row r="99" spans="2:44" ht="18" customHeight="1" x14ac:dyDescent="0.25">
      <c r="B99" s="565"/>
      <c r="C99" s="570"/>
      <c r="D99" s="259" t="s">
        <v>36</v>
      </c>
      <c r="E99" s="261">
        <v>370000000</v>
      </c>
      <c r="F99" s="308">
        <v>335000000</v>
      </c>
      <c r="G99" s="261">
        <v>340000000</v>
      </c>
      <c r="H99" s="308">
        <v>385000000</v>
      </c>
      <c r="I99" s="261"/>
      <c r="J99" s="308"/>
      <c r="K99" s="261"/>
      <c r="L99" s="308"/>
      <c r="M99" s="261"/>
      <c r="N99" s="308"/>
      <c r="O99" s="261"/>
      <c r="P99" s="308"/>
      <c r="Q99" s="261"/>
      <c r="R99" s="308"/>
      <c r="S99" s="261"/>
      <c r="T99" s="308"/>
      <c r="U99" s="261"/>
      <c r="V99" s="308"/>
      <c r="W99" s="261"/>
      <c r="X99" s="308"/>
      <c r="Y99" s="261"/>
      <c r="Z99" s="308"/>
      <c r="AA99" s="261"/>
      <c r="AB99" s="308"/>
      <c r="AC99" s="261"/>
      <c r="AD99" s="308"/>
      <c r="AE99" s="261"/>
      <c r="AF99" s="308"/>
      <c r="AG99" s="261"/>
      <c r="AH99" s="308"/>
      <c r="AI99" s="261"/>
      <c r="AJ99" s="308"/>
      <c r="AK99" s="261"/>
      <c r="AL99" s="308"/>
      <c r="AM99" s="261"/>
      <c r="AN99" s="308"/>
      <c r="AO99" s="261"/>
      <c r="AP99" s="308"/>
      <c r="AQ99" s="261"/>
      <c r="AR99" s="308"/>
    </row>
    <row r="100" spans="2:44" ht="18" customHeight="1" x14ac:dyDescent="0.25">
      <c r="B100" s="565"/>
      <c r="C100" s="570"/>
      <c r="D100" s="259" t="s">
        <v>148</v>
      </c>
      <c r="E100" s="261">
        <v>12</v>
      </c>
      <c r="F100" s="308">
        <v>12</v>
      </c>
      <c r="G100" s="261">
        <v>12</v>
      </c>
      <c r="H100" s="308">
        <v>12</v>
      </c>
      <c r="I100" s="261"/>
      <c r="J100" s="308"/>
      <c r="K100" s="261"/>
      <c r="L100" s="308"/>
      <c r="M100" s="261"/>
      <c r="N100" s="308"/>
      <c r="O100" s="261"/>
      <c r="P100" s="308"/>
      <c r="Q100" s="261"/>
      <c r="R100" s="308"/>
      <c r="S100" s="261"/>
      <c r="T100" s="308"/>
      <c r="U100" s="261"/>
      <c r="V100" s="308"/>
      <c r="W100" s="261"/>
      <c r="X100" s="308"/>
      <c r="Y100" s="261"/>
      <c r="Z100" s="308"/>
      <c r="AA100" s="261"/>
      <c r="AB100" s="308"/>
      <c r="AC100" s="261"/>
      <c r="AD100" s="308"/>
      <c r="AE100" s="261"/>
      <c r="AF100" s="308"/>
      <c r="AG100" s="261"/>
      <c r="AH100" s="308"/>
      <c r="AI100" s="261"/>
      <c r="AJ100" s="308"/>
      <c r="AK100" s="261"/>
      <c r="AL100" s="308"/>
      <c r="AM100" s="261"/>
      <c r="AN100" s="308"/>
      <c r="AO100" s="261"/>
      <c r="AP100" s="308"/>
      <c r="AQ100" s="261"/>
      <c r="AR100" s="308"/>
    </row>
    <row r="101" spans="2:44" ht="18" customHeight="1" x14ac:dyDescent="0.25">
      <c r="B101" s="565"/>
      <c r="C101" s="570"/>
      <c r="D101" s="259" t="s">
        <v>149</v>
      </c>
      <c r="E101" s="261" t="s">
        <v>560</v>
      </c>
      <c r="F101" s="308" t="s">
        <v>574</v>
      </c>
      <c r="G101" s="261" t="s">
        <v>562</v>
      </c>
      <c r="H101" s="308"/>
      <c r="I101" s="261"/>
      <c r="J101" s="308"/>
      <c r="K101" s="261"/>
      <c r="L101" s="308"/>
      <c r="M101" s="261"/>
      <c r="N101" s="308"/>
      <c r="O101" s="261"/>
      <c r="P101" s="308"/>
      <c r="Q101" s="261"/>
      <c r="R101" s="308"/>
      <c r="S101" s="261"/>
      <c r="T101" s="308"/>
      <c r="U101" s="261"/>
      <c r="V101" s="308"/>
      <c r="W101" s="261"/>
      <c r="X101" s="308"/>
      <c r="Y101" s="261"/>
      <c r="Z101" s="308"/>
      <c r="AA101" s="261"/>
      <c r="AB101" s="308"/>
      <c r="AC101" s="261"/>
      <c r="AD101" s="308"/>
      <c r="AE101" s="261"/>
      <c r="AF101" s="308"/>
      <c r="AG101" s="261"/>
      <c r="AH101" s="308"/>
      <c r="AI101" s="261"/>
      <c r="AJ101" s="308"/>
      <c r="AK101" s="261"/>
      <c r="AL101" s="308"/>
      <c r="AM101" s="261"/>
      <c r="AN101" s="308"/>
      <c r="AO101" s="261"/>
      <c r="AP101" s="308"/>
      <c r="AQ101" s="261"/>
      <c r="AR101" s="308"/>
    </row>
    <row r="102" spans="2:44" ht="18" customHeight="1" x14ac:dyDescent="0.25">
      <c r="B102" s="565"/>
      <c r="C102" s="570"/>
      <c r="D102" s="259" t="s">
        <v>150</v>
      </c>
      <c r="E102" s="261">
        <v>18</v>
      </c>
      <c r="F102" s="308">
        <v>18</v>
      </c>
      <c r="G102" s="261">
        <v>18</v>
      </c>
      <c r="H102" s="308">
        <v>18</v>
      </c>
      <c r="I102" s="261"/>
      <c r="J102" s="308"/>
      <c r="K102" s="261"/>
      <c r="L102" s="308"/>
      <c r="M102" s="261"/>
      <c r="N102" s="308"/>
      <c r="O102" s="261"/>
      <c r="P102" s="308"/>
      <c r="Q102" s="261"/>
      <c r="R102" s="308"/>
      <c r="S102" s="261"/>
      <c r="T102" s="308"/>
      <c r="U102" s="261"/>
      <c r="V102" s="308"/>
      <c r="W102" s="261"/>
      <c r="X102" s="308"/>
      <c r="Y102" s="261"/>
      <c r="Z102" s="308"/>
      <c r="AA102" s="261"/>
      <c r="AB102" s="308"/>
      <c r="AC102" s="261"/>
      <c r="AD102" s="308"/>
      <c r="AE102" s="261"/>
      <c r="AF102" s="308"/>
      <c r="AG102" s="261"/>
      <c r="AH102" s="308"/>
      <c r="AI102" s="261"/>
      <c r="AJ102" s="308"/>
      <c r="AK102" s="261"/>
      <c r="AL102" s="308"/>
      <c r="AM102" s="261"/>
      <c r="AN102" s="308"/>
      <c r="AO102" s="261"/>
      <c r="AP102" s="308"/>
      <c r="AQ102" s="261"/>
      <c r="AR102" s="308"/>
    </row>
    <row r="103" spans="2:44" ht="18" customHeight="1" x14ac:dyDescent="0.25">
      <c r="B103" s="565"/>
      <c r="C103" s="570"/>
      <c r="D103" s="259" t="s">
        <v>142</v>
      </c>
      <c r="E103" s="261">
        <v>24</v>
      </c>
      <c r="F103" s="308">
        <v>24</v>
      </c>
      <c r="G103" s="261">
        <v>24</v>
      </c>
      <c r="H103" s="308">
        <v>24</v>
      </c>
      <c r="I103" s="261"/>
      <c r="J103" s="308"/>
      <c r="K103" s="261"/>
      <c r="L103" s="308"/>
      <c r="M103" s="261"/>
      <c r="N103" s="308"/>
      <c r="O103" s="261"/>
      <c r="P103" s="308"/>
      <c r="Q103" s="261"/>
      <c r="R103" s="308"/>
      <c r="S103" s="261"/>
      <c r="T103" s="308"/>
      <c r="U103" s="261"/>
      <c r="V103" s="308"/>
      <c r="W103" s="261"/>
      <c r="X103" s="308"/>
      <c r="Y103" s="261"/>
      <c r="Z103" s="308"/>
      <c r="AA103" s="261"/>
      <c r="AB103" s="308"/>
      <c r="AC103" s="261"/>
      <c r="AD103" s="308"/>
      <c r="AE103" s="261"/>
      <c r="AF103" s="308"/>
      <c r="AG103" s="261"/>
      <c r="AH103" s="308"/>
      <c r="AI103" s="261"/>
      <c r="AJ103" s="308"/>
      <c r="AK103" s="261"/>
      <c r="AL103" s="308"/>
      <c r="AM103" s="261"/>
      <c r="AN103" s="308"/>
      <c r="AO103" s="261"/>
      <c r="AP103" s="308"/>
      <c r="AQ103" s="261"/>
      <c r="AR103" s="308"/>
    </row>
    <row r="104" spans="2:44" ht="18" customHeight="1" x14ac:dyDescent="0.25">
      <c r="B104" s="565"/>
      <c r="C104" s="570"/>
      <c r="D104" s="259" t="s">
        <v>42</v>
      </c>
      <c r="E104" s="261">
        <v>13</v>
      </c>
      <c r="F104" s="308">
        <v>14</v>
      </c>
      <c r="G104" s="261">
        <v>15</v>
      </c>
      <c r="H104" s="308"/>
      <c r="I104" s="261"/>
      <c r="J104" s="308"/>
      <c r="K104" s="261"/>
      <c r="L104" s="308"/>
      <c r="M104" s="261"/>
      <c r="N104" s="308"/>
      <c r="O104" s="261"/>
      <c r="P104" s="308"/>
      <c r="Q104" s="261"/>
      <c r="R104" s="308"/>
      <c r="S104" s="261"/>
      <c r="T104" s="308"/>
      <c r="U104" s="261"/>
      <c r="V104" s="308"/>
      <c r="W104" s="261"/>
      <c r="X104" s="308"/>
      <c r="Y104" s="261"/>
      <c r="Z104" s="308"/>
      <c r="AA104" s="261"/>
      <c r="AB104" s="308"/>
      <c r="AC104" s="261"/>
      <c r="AD104" s="308"/>
      <c r="AE104" s="261"/>
      <c r="AF104" s="308"/>
      <c r="AG104" s="261"/>
      <c r="AH104" s="308"/>
      <c r="AI104" s="261"/>
      <c r="AJ104" s="308"/>
      <c r="AK104" s="261"/>
      <c r="AL104" s="308"/>
      <c r="AM104" s="261"/>
      <c r="AN104" s="308"/>
      <c r="AO104" s="261"/>
      <c r="AP104" s="308"/>
      <c r="AQ104" s="261"/>
      <c r="AR104" s="308"/>
    </row>
    <row r="105" spans="2:44" ht="18" customHeight="1" x14ac:dyDescent="0.25">
      <c r="B105" s="565"/>
      <c r="C105" s="570"/>
      <c r="D105" s="259" t="s">
        <v>151</v>
      </c>
      <c r="E105" s="261"/>
      <c r="F105" s="308"/>
      <c r="G105" s="261"/>
      <c r="H105" s="308"/>
      <c r="I105" s="261"/>
      <c r="J105" s="308"/>
      <c r="K105" s="261"/>
      <c r="L105" s="308"/>
      <c r="M105" s="261"/>
      <c r="N105" s="308"/>
      <c r="O105" s="261"/>
      <c r="P105" s="308"/>
      <c r="Q105" s="261"/>
      <c r="R105" s="308"/>
      <c r="S105" s="261"/>
      <c r="T105" s="308"/>
      <c r="U105" s="261"/>
      <c r="V105" s="308"/>
      <c r="W105" s="261"/>
      <c r="X105" s="308"/>
      <c r="Y105" s="261"/>
      <c r="Z105" s="308"/>
      <c r="AA105" s="261"/>
      <c r="AB105" s="308"/>
      <c r="AC105" s="261"/>
      <c r="AD105" s="308"/>
      <c r="AE105" s="261"/>
      <c r="AF105" s="308"/>
      <c r="AG105" s="261"/>
      <c r="AH105" s="308"/>
      <c r="AI105" s="261"/>
      <c r="AJ105" s="308"/>
      <c r="AK105" s="261"/>
      <c r="AL105" s="308"/>
      <c r="AM105" s="261"/>
      <c r="AN105" s="308"/>
      <c r="AO105" s="261"/>
      <c r="AP105" s="308"/>
      <c r="AQ105" s="261"/>
      <c r="AR105" s="308"/>
    </row>
    <row r="106" spans="2:44" ht="18" customHeight="1" x14ac:dyDescent="0.25">
      <c r="B106" s="565"/>
      <c r="C106" s="570"/>
      <c r="D106" s="259" t="s">
        <v>152</v>
      </c>
      <c r="E106" s="261">
        <v>10000000</v>
      </c>
      <c r="F106" s="308">
        <v>23900000</v>
      </c>
      <c r="G106" s="261">
        <v>20000000</v>
      </c>
      <c r="H106" s="308"/>
      <c r="I106" s="261">
        <v>5000000</v>
      </c>
      <c r="J106" s="308"/>
      <c r="K106" s="261"/>
      <c r="L106" s="308"/>
      <c r="M106" s="261"/>
      <c r="N106" s="308"/>
      <c r="O106" s="261"/>
      <c r="P106" s="308"/>
      <c r="Q106" s="261"/>
      <c r="R106" s="308"/>
      <c r="S106" s="261"/>
      <c r="T106" s="308"/>
      <c r="U106" s="261"/>
      <c r="V106" s="308"/>
      <c r="W106" s="261"/>
      <c r="X106" s="308"/>
      <c r="Y106" s="261"/>
      <c r="Z106" s="308"/>
      <c r="AA106" s="261"/>
      <c r="AB106" s="308"/>
      <c r="AC106" s="261"/>
      <c r="AD106" s="308"/>
      <c r="AE106" s="261"/>
      <c r="AF106" s="308"/>
      <c r="AG106" s="261"/>
      <c r="AH106" s="308"/>
      <c r="AI106" s="261"/>
      <c r="AJ106" s="308"/>
      <c r="AK106" s="261"/>
      <c r="AL106" s="308"/>
      <c r="AM106" s="261"/>
      <c r="AN106" s="308"/>
      <c r="AO106" s="261"/>
      <c r="AP106" s="308"/>
      <c r="AQ106" s="261"/>
      <c r="AR106" s="308"/>
    </row>
    <row r="107" spans="2:44" ht="18" customHeight="1" x14ac:dyDescent="0.25">
      <c r="B107" s="565"/>
      <c r="C107" s="570"/>
      <c r="D107" s="259" t="s">
        <v>153</v>
      </c>
      <c r="E107" s="262">
        <v>45000000</v>
      </c>
      <c r="F107" s="309">
        <v>24000000</v>
      </c>
      <c r="G107" s="262">
        <v>40000000</v>
      </c>
      <c r="H107" s="309"/>
      <c r="I107" s="262">
        <v>20000000</v>
      </c>
      <c r="J107" s="309"/>
      <c r="K107" s="262"/>
      <c r="L107" s="309"/>
      <c r="M107" s="262"/>
      <c r="N107" s="309"/>
      <c r="O107" s="262"/>
      <c r="P107" s="309"/>
      <c r="Q107" s="262"/>
      <c r="R107" s="309"/>
      <c r="S107" s="262"/>
      <c r="T107" s="309"/>
      <c r="U107" s="262"/>
      <c r="V107" s="309"/>
      <c r="W107" s="262"/>
      <c r="X107" s="309"/>
      <c r="Y107" s="262"/>
      <c r="Z107" s="309"/>
      <c r="AA107" s="262"/>
      <c r="AB107" s="309"/>
      <c r="AC107" s="262"/>
      <c r="AD107" s="309"/>
      <c r="AE107" s="262"/>
      <c r="AF107" s="309"/>
      <c r="AG107" s="262"/>
      <c r="AH107" s="309"/>
      <c r="AI107" s="262"/>
      <c r="AJ107" s="309"/>
      <c r="AK107" s="262"/>
      <c r="AL107" s="309"/>
      <c r="AM107" s="262"/>
      <c r="AN107" s="309"/>
      <c r="AO107" s="262"/>
      <c r="AP107" s="309"/>
      <c r="AQ107" s="262"/>
      <c r="AR107" s="309"/>
    </row>
    <row r="108" spans="2:44" ht="18" customHeight="1" thickBot="1" x14ac:dyDescent="0.3">
      <c r="B108" s="565"/>
      <c r="C108" s="570"/>
      <c r="D108" s="263" t="s">
        <v>154</v>
      </c>
      <c r="E108" s="264">
        <f>E99/E104</f>
        <v>28461538.46153846</v>
      </c>
      <c r="F108" s="310">
        <f t="shared" ref="F108:AR108" si="57">F99/F104</f>
        <v>23928571.428571429</v>
      </c>
      <c r="G108" s="264">
        <f t="shared" si="57"/>
        <v>22666666.666666668</v>
      </c>
      <c r="H108" s="310" t="e">
        <f t="shared" si="57"/>
        <v>#DIV/0!</v>
      </c>
      <c r="I108" s="264" t="e">
        <f t="shared" si="57"/>
        <v>#DIV/0!</v>
      </c>
      <c r="J108" s="310" t="e">
        <f t="shared" si="57"/>
        <v>#DIV/0!</v>
      </c>
      <c r="K108" s="264" t="e">
        <f t="shared" si="57"/>
        <v>#DIV/0!</v>
      </c>
      <c r="L108" s="310" t="e">
        <f t="shared" si="57"/>
        <v>#DIV/0!</v>
      </c>
      <c r="M108" s="264" t="e">
        <f t="shared" si="57"/>
        <v>#DIV/0!</v>
      </c>
      <c r="N108" s="310" t="e">
        <f t="shared" si="57"/>
        <v>#DIV/0!</v>
      </c>
      <c r="O108" s="264" t="e">
        <f t="shared" si="57"/>
        <v>#DIV/0!</v>
      </c>
      <c r="P108" s="310" t="e">
        <f t="shared" si="57"/>
        <v>#DIV/0!</v>
      </c>
      <c r="Q108" s="264" t="e">
        <f t="shared" si="57"/>
        <v>#DIV/0!</v>
      </c>
      <c r="R108" s="310" t="e">
        <f t="shared" si="57"/>
        <v>#DIV/0!</v>
      </c>
      <c r="S108" s="264" t="e">
        <f t="shared" si="57"/>
        <v>#DIV/0!</v>
      </c>
      <c r="T108" s="310" t="e">
        <f t="shared" si="57"/>
        <v>#DIV/0!</v>
      </c>
      <c r="U108" s="264" t="e">
        <f t="shared" si="57"/>
        <v>#DIV/0!</v>
      </c>
      <c r="V108" s="310" t="e">
        <f t="shared" si="57"/>
        <v>#DIV/0!</v>
      </c>
      <c r="W108" s="264" t="e">
        <f t="shared" si="57"/>
        <v>#DIV/0!</v>
      </c>
      <c r="X108" s="310" t="e">
        <f t="shared" si="57"/>
        <v>#DIV/0!</v>
      </c>
      <c r="Y108" s="264" t="e">
        <f t="shared" si="57"/>
        <v>#DIV/0!</v>
      </c>
      <c r="Z108" s="310" t="e">
        <f t="shared" si="57"/>
        <v>#DIV/0!</v>
      </c>
      <c r="AA108" s="264" t="e">
        <f t="shared" si="57"/>
        <v>#DIV/0!</v>
      </c>
      <c r="AB108" s="310" t="e">
        <f t="shared" si="57"/>
        <v>#DIV/0!</v>
      </c>
      <c r="AC108" s="264" t="e">
        <f t="shared" si="57"/>
        <v>#DIV/0!</v>
      </c>
      <c r="AD108" s="310" t="e">
        <f t="shared" si="57"/>
        <v>#DIV/0!</v>
      </c>
      <c r="AE108" s="264" t="e">
        <f t="shared" si="57"/>
        <v>#DIV/0!</v>
      </c>
      <c r="AF108" s="310" t="e">
        <f t="shared" si="57"/>
        <v>#DIV/0!</v>
      </c>
      <c r="AG108" s="264" t="e">
        <f t="shared" si="57"/>
        <v>#DIV/0!</v>
      </c>
      <c r="AH108" s="310" t="e">
        <f t="shared" si="57"/>
        <v>#DIV/0!</v>
      </c>
      <c r="AI108" s="264" t="e">
        <f t="shared" si="57"/>
        <v>#DIV/0!</v>
      </c>
      <c r="AJ108" s="310" t="e">
        <f t="shared" si="57"/>
        <v>#DIV/0!</v>
      </c>
      <c r="AK108" s="264" t="e">
        <f t="shared" si="57"/>
        <v>#DIV/0!</v>
      </c>
      <c r="AL108" s="310" t="e">
        <f t="shared" si="57"/>
        <v>#DIV/0!</v>
      </c>
      <c r="AM108" s="264" t="e">
        <f t="shared" si="57"/>
        <v>#DIV/0!</v>
      </c>
      <c r="AN108" s="310" t="e">
        <f t="shared" si="57"/>
        <v>#DIV/0!</v>
      </c>
      <c r="AO108" s="264" t="e">
        <f t="shared" si="57"/>
        <v>#DIV/0!</v>
      </c>
      <c r="AP108" s="310" t="e">
        <f t="shared" si="57"/>
        <v>#DIV/0!</v>
      </c>
      <c r="AQ108" s="264" t="e">
        <f t="shared" si="57"/>
        <v>#DIV/0!</v>
      </c>
      <c r="AR108" s="310" t="e">
        <f t="shared" si="57"/>
        <v>#DIV/0!</v>
      </c>
    </row>
    <row r="109" spans="2:44" ht="18" customHeight="1" x14ac:dyDescent="0.25">
      <c r="B109" s="565"/>
      <c r="C109" s="570"/>
      <c r="D109" s="265" t="s">
        <v>295</v>
      </c>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c r="AH109" s="269"/>
      <c r="AI109" s="269"/>
      <c r="AJ109" s="269"/>
      <c r="AK109" s="269"/>
      <c r="AL109" s="269"/>
      <c r="AM109" s="269"/>
      <c r="AN109" s="311"/>
      <c r="AO109" s="266"/>
      <c r="AP109" s="311"/>
      <c r="AQ109" s="266"/>
      <c r="AR109" s="311"/>
    </row>
    <row r="110" spans="2:44" ht="18" customHeight="1" x14ac:dyDescent="0.25">
      <c r="B110" s="565"/>
      <c r="C110" s="570"/>
      <c r="D110" s="267" t="s">
        <v>296</v>
      </c>
      <c r="E110" s="269"/>
      <c r="F110" s="269"/>
      <c r="G110" s="269"/>
      <c r="H110" s="269"/>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269"/>
      <c r="AJ110" s="269"/>
      <c r="AK110" s="269"/>
      <c r="AL110" s="269"/>
      <c r="AM110" s="269"/>
      <c r="AN110" s="312"/>
      <c r="AO110" s="268"/>
      <c r="AP110" s="312"/>
      <c r="AQ110" s="268"/>
      <c r="AR110" s="312"/>
    </row>
    <row r="111" spans="2:44" ht="18" customHeight="1" x14ac:dyDescent="0.25">
      <c r="B111" s="565"/>
      <c r="C111" s="570"/>
      <c r="D111" s="267" t="s">
        <v>155</v>
      </c>
      <c r="E111" s="269"/>
      <c r="F111" s="313"/>
      <c r="G111" s="269"/>
      <c r="H111" s="313"/>
      <c r="I111" s="269"/>
      <c r="J111" s="313"/>
      <c r="K111" s="269"/>
      <c r="L111" s="313"/>
      <c r="M111" s="269"/>
      <c r="N111" s="313"/>
      <c r="O111" s="269"/>
      <c r="P111" s="313"/>
      <c r="Q111" s="269"/>
      <c r="R111" s="313"/>
      <c r="S111" s="269"/>
      <c r="T111" s="313"/>
      <c r="U111" s="269"/>
      <c r="V111" s="313"/>
      <c r="W111" s="269"/>
      <c r="X111" s="313"/>
      <c r="Y111" s="269"/>
      <c r="Z111" s="313"/>
      <c r="AA111" s="269"/>
      <c r="AB111" s="313"/>
      <c r="AC111" s="269"/>
      <c r="AD111" s="313"/>
      <c r="AE111" s="269"/>
      <c r="AF111" s="313"/>
      <c r="AG111" s="269"/>
      <c r="AH111" s="313"/>
      <c r="AI111" s="269"/>
      <c r="AJ111" s="313"/>
      <c r="AK111" s="269"/>
      <c r="AL111" s="313"/>
      <c r="AM111" s="269"/>
      <c r="AN111" s="313"/>
      <c r="AO111" s="269"/>
      <c r="AP111" s="313"/>
      <c r="AQ111" s="269"/>
      <c r="AR111" s="313"/>
    </row>
    <row r="112" spans="2:44" ht="18" customHeight="1" x14ac:dyDescent="0.25">
      <c r="B112" s="565"/>
      <c r="C112" s="570"/>
      <c r="D112" s="267" t="s">
        <v>37</v>
      </c>
      <c r="E112" s="269"/>
      <c r="F112" s="313"/>
      <c r="G112" s="269"/>
      <c r="H112" s="313"/>
      <c r="I112" s="269"/>
      <c r="J112" s="313"/>
      <c r="K112" s="269"/>
      <c r="L112" s="313"/>
      <c r="M112" s="269"/>
      <c r="N112" s="313"/>
      <c r="O112" s="269"/>
      <c r="P112" s="313"/>
      <c r="Q112" s="269"/>
      <c r="R112" s="313"/>
      <c r="S112" s="269"/>
      <c r="T112" s="313"/>
      <c r="U112" s="269"/>
      <c r="V112" s="313"/>
      <c r="W112" s="269"/>
      <c r="X112" s="313"/>
      <c r="Y112" s="269"/>
      <c r="Z112" s="313"/>
      <c r="AA112" s="269"/>
      <c r="AB112" s="313"/>
      <c r="AC112" s="269"/>
      <c r="AD112" s="313"/>
      <c r="AE112" s="269"/>
      <c r="AF112" s="313"/>
      <c r="AG112" s="269"/>
      <c r="AH112" s="313"/>
      <c r="AI112" s="269"/>
      <c r="AJ112" s="313"/>
      <c r="AK112" s="269"/>
      <c r="AL112" s="313"/>
      <c r="AM112" s="269"/>
      <c r="AN112" s="313"/>
      <c r="AO112" s="269"/>
      <c r="AP112" s="313"/>
      <c r="AQ112" s="269"/>
      <c r="AR112" s="313"/>
    </row>
    <row r="113" spans="2:44" ht="18" customHeight="1" x14ac:dyDescent="0.25">
      <c r="B113" s="565"/>
      <c r="C113" s="570"/>
      <c r="D113" s="267" t="s">
        <v>156</v>
      </c>
      <c r="E113" s="269"/>
      <c r="F113" s="313"/>
      <c r="G113" s="269"/>
      <c r="H113" s="313"/>
      <c r="I113" s="269"/>
      <c r="J113" s="313"/>
      <c r="K113" s="269"/>
      <c r="L113" s="313"/>
      <c r="M113" s="269"/>
      <c r="N113" s="313"/>
      <c r="O113" s="269"/>
      <c r="P113" s="313"/>
      <c r="Q113" s="269"/>
      <c r="R113" s="313"/>
      <c r="S113" s="269"/>
      <c r="T113" s="313"/>
      <c r="U113" s="269"/>
      <c r="V113" s="313"/>
      <c r="W113" s="269"/>
      <c r="X113" s="313"/>
      <c r="Y113" s="269"/>
      <c r="Z113" s="313"/>
      <c r="AA113" s="269"/>
      <c r="AB113" s="313"/>
      <c r="AC113" s="269"/>
      <c r="AD113" s="313"/>
      <c r="AE113" s="269"/>
      <c r="AF113" s="313"/>
      <c r="AG113" s="269"/>
      <c r="AH113" s="313"/>
      <c r="AI113" s="269"/>
      <c r="AJ113" s="313"/>
      <c r="AK113" s="269"/>
      <c r="AL113" s="313"/>
      <c r="AM113" s="269"/>
      <c r="AN113" s="313"/>
      <c r="AO113" s="269"/>
      <c r="AP113" s="313"/>
      <c r="AQ113" s="269"/>
      <c r="AR113" s="313"/>
    </row>
    <row r="114" spans="2:44" ht="18" customHeight="1" x14ac:dyDescent="0.25">
      <c r="B114" s="565"/>
      <c r="C114" s="570"/>
      <c r="D114" s="267" t="s">
        <v>157</v>
      </c>
      <c r="E114" s="269"/>
      <c r="F114" s="313"/>
      <c r="G114" s="269"/>
      <c r="H114" s="313"/>
      <c r="I114" s="269"/>
      <c r="J114" s="313"/>
      <c r="K114" s="269"/>
      <c r="L114" s="313"/>
      <c r="M114" s="269"/>
      <c r="N114" s="313"/>
      <c r="O114" s="269"/>
      <c r="P114" s="313"/>
      <c r="Q114" s="269"/>
      <c r="R114" s="313"/>
      <c r="S114" s="269"/>
      <c r="T114" s="313"/>
      <c r="U114" s="269"/>
      <c r="V114" s="313"/>
      <c r="W114" s="269"/>
      <c r="X114" s="313"/>
      <c r="Y114" s="269"/>
      <c r="Z114" s="313"/>
      <c r="AA114" s="269"/>
      <c r="AB114" s="313"/>
      <c r="AC114" s="269"/>
      <c r="AD114" s="313"/>
      <c r="AE114" s="269"/>
      <c r="AF114" s="313"/>
      <c r="AG114" s="269"/>
      <c r="AH114" s="313"/>
      <c r="AI114" s="269"/>
      <c r="AJ114" s="313"/>
      <c r="AK114" s="269"/>
      <c r="AL114" s="313"/>
      <c r="AM114" s="269"/>
      <c r="AN114" s="313"/>
      <c r="AO114" s="269"/>
      <c r="AP114" s="313"/>
      <c r="AQ114" s="269"/>
      <c r="AR114" s="313"/>
    </row>
    <row r="115" spans="2:44" ht="18" customHeight="1" x14ac:dyDescent="0.25">
      <c r="B115" s="565"/>
      <c r="C115" s="570"/>
      <c r="D115" s="267" t="s">
        <v>158</v>
      </c>
      <c r="E115" s="269"/>
      <c r="F115" s="313"/>
      <c r="G115" s="269"/>
      <c r="H115" s="313"/>
      <c r="I115" s="269"/>
      <c r="J115" s="313"/>
      <c r="K115" s="269"/>
      <c r="L115" s="313"/>
      <c r="M115" s="269"/>
      <c r="N115" s="313"/>
      <c r="O115" s="269"/>
      <c r="P115" s="313"/>
      <c r="Q115" s="269"/>
      <c r="R115" s="313"/>
      <c r="S115" s="269"/>
      <c r="T115" s="313"/>
      <c r="U115" s="269"/>
      <c r="V115" s="313"/>
      <c r="W115" s="269"/>
      <c r="X115" s="313"/>
      <c r="Y115" s="269"/>
      <c r="Z115" s="313"/>
      <c r="AA115" s="269"/>
      <c r="AB115" s="313"/>
      <c r="AC115" s="269"/>
      <c r="AD115" s="313"/>
      <c r="AE115" s="269"/>
      <c r="AF115" s="313"/>
      <c r="AG115" s="269"/>
      <c r="AH115" s="313"/>
      <c r="AI115" s="269"/>
      <c r="AJ115" s="313"/>
      <c r="AK115" s="269"/>
      <c r="AL115" s="313"/>
      <c r="AM115" s="269"/>
      <c r="AN115" s="313"/>
      <c r="AO115" s="269"/>
      <c r="AP115" s="313"/>
      <c r="AQ115" s="269"/>
      <c r="AR115" s="313"/>
    </row>
    <row r="116" spans="2:44" ht="18" customHeight="1" x14ac:dyDescent="0.25">
      <c r="B116" s="565"/>
      <c r="C116" s="570"/>
      <c r="D116" s="267" t="s">
        <v>142</v>
      </c>
      <c r="E116" s="269"/>
      <c r="F116" s="313"/>
      <c r="G116" s="269"/>
      <c r="H116" s="313"/>
      <c r="I116" s="269"/>
      <c r="J116" s="313"/>
      <c r="K116" s="269"/>
      <c r="L116" s="313"/>
      <c r="M116" s="269"/>
      <c r="N116" s="313"/>
      <c r="O116" s="269"/>
      <c r="P116" s="313"/>
      <c r="Q116" s="269"/>
      <c r="R116" s="313"/>
      <c r="S116" s="269"/>
      <c r="T116" s="313"/>
      <c r="U116" s="269"/>
      <c r="V116" s="313"/>
      <c r="W116" s="269"/>
      <c r="X116" s="313"/>
      <c r="Y116" s="269"/>
      <c r="Z116" s="313"/>
      <c r="AA116" s="269"/>
      <c r="AB116" s="313"/>
      <c r="AC116" s="269"/>
      <c r="AD116" s="313"/>
      <c r="AE116" s="269"/>
      <c r="AF116" s="313"/>
      <c r="AG116" s="269"/>
      <c r="AH116" s="313"/>
      <c r="AI116" s="269"/>
      <c r="AJ116" s="313"/>
      <c r="AK116" s="269"/>
      <c r="AL116" s="313"/>
      <c r="AM116" s="269"/>
      <c r="AN116" s="313"/>
      <c r="AO116" s="269"/>
      <c r="AP116" s="313"/>
      <c r="AQ116" s="269"/>
      <c r="AR116" s="313"/>
    </row>
    <row r="117" spans="2:44" ht="18" customHeight="1" x14ac:dyDescent="0.25">
      <c r="B117" s="565"/>
      <c r="C117" s="570"/>
      <c r="D117" s="267" t="s">
        <v>43</v>
      </c>
      <c r="E117" s="269"/>
      <c r="F117" s="313"/>
      <c r="G117" s="269"/>
      <c r="H117" s="313"/>
      <c r="I117" s="269"/>
      <c r="J117" s="313"/>
      <c r="K117" s="269"/>
      <c r="L117" s="313"/>
      <c r="M117" s="269"/>
      <c r="N117" s="313"/>
      <c r="O117" s="269"/>
      <c r="P117" s="313"/>
      <c r="Q117" s="269"/>
      <c r="R117" s="313"/>
      <c r="S117" s="269"/>
      <c r="T117" s="313"/>
      <c r="U117" s="269"/>
      <c r="V117" s="313"/>
      <c r="W117" s="269"/>
      <c r="X117" s="313"/>
      <c r="Y117" s="269"/>
      <c r="Z117" s="313"/>
      <c r="AA117" s="269"/>
      <c r="AB117" s="313"/>
      <c r="AC117" s="269"/>
      <c r="AD117" s="313"/>
      <c r="AE117" s="269"/>
      <c r="AF117" s="313"/>
      <c r="AG117" s="269"/>
      <c r="AH117" s="313"/>
      <c r="AI117" s="269"/>
      <c r="AJ117" s="313"/>
      <c r="AK117" s="269"/>
      <c r="AL117" s="313"/>
      <c r="AM117" s="269"/>
      <c r="AN117" s="313"/>
      <c r="AO117" s="269"/>
      <c r="AP117" s="313"/>
      <c r="AQ117" s="269"/>
      <c r="AR117" s="313"/>
    </row>
    <row r="118" spans="2:44" ht="18" customHeight="1" x14ac:dyDescent="0.25">
      <c r="B118" s="565"/>
      <c r="C118" s="570"/>
      <c r="D118" s="267" t="s">
        <v>159</v>
      </c>
      <c r="E118" s="269"/>
      <c r="F118" s="313"/>
      <c r="G118" s="269"/>
      <c r="H118" s="313"/>
      <c r="I118" s="269"/>
      <c r="J118" s="313"/>
      <c r="K118" s="269"/>
      <c r="L118" s="313"/>
      <c r="M118" s="269"/>
      <c r="N118" s="313"/>
      <c r="O118" s="269"/>
      <c r="P118" s="313"/>
      <c r="Q118" s="269"/>
      <c r="R118" s="313"/>
      <c r="S118" s="269"/>
      <c r="T118" s="313"/>
      <c r="U118" s="269"/>
      <c r="V118" s="313"/>
      <c r="W118" s="269"/>
      <c r="X118" s="313"/>
      <c r="Y118" s="269"/>
      <c r="Z118" s="313"/>
      <c r="AA118" s="269"/>
      <c r="AB118" s="313"/>
      <c r="AC118" s="269"/>
      <c r="AD118" s="313"/>
      <c r="AE118" s="269"/>
      <c r="AF118" s="313"/>
      <c r="AG118" s="269"/>
      <c r="AH118" s="313"/>
      <c r="AI118" s="269"/>
      <c r="AJ118" s="313"/>
      <c r="AK118" s="269"/>
      <c r="AL118" s="313"/>
      <c r="AM118" s="269"/>
      <c r="AN118" s="313"/>
      <c r="AO118" s="269"/>
      <c r="AP118" s="313"/>
      <c r="AQ118" s="269"/>
      <c r="AR118" s="313"/>
    </row>
    <row r="119" spans="2:44" ht="18" customHeight="1" x14ac:dyDescent="0.25">
      <c r="B119" s="565"/>
      <c r="C119" s="570"/>
      <c r="D119" s="267" t="s">
        <v>160</v>
      </c>
      <c r="E119" s="269"/>
      <c r="F119" s="313"/>
      <c r="G119" s="269"/>
      <c r="H119" s="313"/>
      <c r="I119" s="269"/>
      <c r="J119" s="313"/>
      <c r="K119" s="269"/>
      <c r="L119" s="313"/>
      <c r="M119" s="269"/>
      <c r="N119" s="313"/>
      <c r="O119" s="269"/>
      <c r="P119" s="313"/>
      <c r="Q119" s="269"/>
      <c r="R119" s="313"/>
      <c r="S119" s="269"/>
      <c r="T119" s="313"/>
      <c r="U119" s="269"/>
      <c r="V119" s="313"/>
      <c r="W119" s="269"/>
      <c r="X119" s="313"/>
      <c r="Y119" s="269"/>
      <c r="Z119" s="313"/>
      <c r="AA119" s="269"/>
      <c r="AB119" s="313"/>
      <c r="AC119" s="269"/>
      <c r="AD119" s="313"/>
      <c r="AE119" s="269"/>
      <c r="AF119" s="313"/>
      <c r="AG119" s="269"/>
      <c r="AH119" s="313"/>
      <c r="AI119" s="269"/>
      <c r="AJ119" s="313"/>
      <c r="AK119" s="269"/>
      <c r="AL119" s="313"/>
      <c r="AM119" s="269"/>
      <c r="AN119" s="313"/>
      <c r="AO119" s="269"/>
      <c r="AP119" s="313"/>
      <c r="AQ119" s="269"/>
      <c r="AR119" s="313"/>
    </row>
    <row r="120" spans="2:44" ht="18" customHeight="1" x14ac:dyDescent="0.25">
      <c r="B120" s="565"/>
      <c r="C120" s="570"/>
      <c r="D120" s="267" t="s">
        <v>161</v>
      </c>
      <c r="E120" s="270"/>
      <c r="F120" s="314"/>
      <c r="G120" s="270"/>
      <c r="H120" s="314"/>
      <c r="I120" s="270"/>
      <c r="J120" s="314"/>
      <c r="K120" s="270"/>
      <c r="L120" s="314"/>
      <c r="M120" s="270"/>
      <c r="N120" s="314"/>
      <c r="O120" s="270"/>
      <c r="P120" s="314"/>
      <c r="Q120" s="270"/>
      <c r="R120" s="314"/>
      <c r="S120" s="270"/>
      <c r="T120" s="314"/>
      <c r="U120" s="270"/>
      <c r="V120" s="314"/>
      <c r="W120" s="270"/>
      <c r="X120" s="314"/>
      <c r="Y120" s="270"/>
      <c r="Z120" s="314"/>
      <c r="AA120" s="270"/>
      <c r="AB120" s="314"/>
      <c r="AC120" s="270"/>
      <c r="AD120" s="314"/>
      <c r="AE120" s="270"/>
      <c r="AF120" s="314"/>
      <c r="AG120" s="270"/>
      <c r="AH120" s="314"/>
      <c r="AI120" s="270"/>
      <c r="AJ120" s="314"/>
      <c r="AK120" s="270"/>
      <c r="AL120" s="314"/>
      <c r="AM120" s="270"/>
      <c r="AN120" s="314"/>
      <c r="AO120" s="270"/>
      <c r="AP120" s="314"/>
      <c r="AQ120" s="270"/>
      <c r="AR120" s="314"/>
    </row>
    <row r="121" spans="2:44" ht="18" customHeight="1" thickBot="1" x14ac:dyDescent="0.3">
      <c r="B121" s="565"/>
      <c r="C121" s="570"/>
      <c r="D121" s="271" t="s">
        <v>162</v>
      </c>
      <c r="E121" s="272" t="e">
        <f>E112/E117</f>
        <v>#DIV/0!</v>
      </c>
      <c r="F121" s="315" t="e">
        <f t="shared" ref="F121:AR121" si="58">F112/F117</f>
        <v>#DIV/0!</v>
      </c>
      <c r="G121" s="272" t="e">
        <f t="shared" si="58"/>
        <v>#DIV/0!</v>
      </c>
      <c r="H121" s="315" t="e">
        <f t="shared" si="58"/>
        <v>#DIV/0!</v>
      </c>
      <c r="I121" s="272" t="e">
        <f t="shared" si="58"/>
        <v>#DIV/0!</v>
      </c>
      <c r="J121" s="315" t="e">
        <f t="shared" si="58"/>
        <v>#DIV/0!</v>
      </c>
      <c r="K121" s="272" t="e">
        <f t="shared" si="58"/>
        <v>#DIV/0!</v>
      </c>
      <c r="L121" s="315" t="e">
        <f t="shared" si="58"/>
        <v>#DIV/0!</v>
      </c>
      <c r="M121" s="272" t="e">
        <f t="shared" si="58"/>
        <v>#DIV/0!</v>
      </c>
      <c r="N121" s="315" t="e">
        <f t="shared" si="58"/>
        <v>#DIV/0!</v>
      </c>
      <c r="O121" s="272" t="e">
        <f t="shared" si="58"/>
        <v>#DIV/0!</v>
      </c>
      <c r="P121" s="315" t="e">
        <f t="shared" si="58"/>
        <v>#DIV/0!</v>
      </c>
      <c r="Q121" s="272" t="e">
        <f t="shared" si="58"/>
        <v>#DIV/0!</v>
      </c>
      <c r="R121" s="315" t="e">
        <f t="shared" si="58"/>
        <v>#DIV/0!</v>
      </c>
      <c r="S121" s="272" t="e">
        <f t="shared" si="58"/>
        <v>#DIV/0!</v>
      </c>
      <c r="T121" s="315" t="e">
        <f t="shared" si="58"/>
        <v>#DIV/0!</v>
      </c>
      <c r="U121" s="272" t="e">
        <f t="shared" si="58"/>
        <v>#DIV/0!</v>
      </c>
      <c r="V121" s="315" t="e">
        <f t="shared" si="58"/>
        <v>#DIV/0!</v>
      </c>
      <c r="W121" s="272" t="e">
        <f t="shared" si="58"/>
        <v>#DIV/0!</v>
      </c>
      <c r="X121" s="315" t="e">
        <f t="shared" si="58"/>
        <v>#DIV/0!</v>
      </c>
      <c r="Y121" s="272" t="e">
        <f t="shared" si="58"/>
        <v>#DIV/0!</v>
      </c>
      <c r="Z121" s="315" t="e">
        <f t="shared" si="58"/>
        <v>#DIV/0!</v>
      </c>
      <c r="AA121" s="272" t="e">
        <f t="shared" si="58"/>
        <v>#DIV/0!</v>
      </c>
      <c r="AB121" s="315" t="e">
        <f t="shared" si="58"/>
        <v>#DIV/0!</v>
      </c>
      <c r="AC121" s="272" t="e">
        <f t="shared" si="58"/>
        <v>#DIV/0!</v>
      </c>
      <c r="AD121" s="315" t="e">
        <f t="shared" si="58"/>
        <v>#DIV/0!</v>
      </c>
      <c r="AE121" s="272" t="e">
        <f t="shared" si="58"/>
        <v>#DIV/0!</v>
      </c>
      <c r="AF121" s="315" t="e">
        <f t="shared" si="58"/>
        <v>#DIV/0!</v>
      </c>
      <c r="AG121" s="272" t="e">
        <f t="shared" si="58"/>
        <v>#DIV/0!</v>
      </c>
      <c r="AH121" s="315" t="e">
        <f t="shared" si="58"/>
        <v>#DIV/0!</v>
      </c>
      <c r="AI121" s="272" t="e">
        <f t="shared" si="58"/>
        <v>#DIV/0!</v>
      </c>
      <c r="AJ121" s="315" t="e">
        <f t="shared" si="58"/>
        <v>#DIV/0!</v>
      </c>
      <c r="AK121" s="272" t="e">
        <f t="shared" si="58"/>
        <v>#DIV/0!</v>
      </c>
      <c r="AL121" s="315" t="e">
        <f t="shared" si="58"/>
        <v>#DIV/0!</v>
      </c>
      <c r="AM121" s="272" t="e">
        <f t="shared" si="58"/>
        <v>#DIV/0!</v>
      </c>
      <c r="AN121" s="315" t="e">
        <f t="shared" si="58"/>
        <v>#DIV/0!</v>
      </c>
      <c r="AO121" s="272" t="e">
        <f t="shared" si="58"/>
        <v>#DIV/0!</v>
      </c>
      <c r="AP121" s="315" t="e">
        <f t="shared" si="58"/>
        <v>#DIV/0!</v>
      </c>
      <c r="AQ121" s="272" t="e">
        <f t="shared" si="58"/>
        <v>#DIV/0!</v>
      </c>
      <c r="AR121" s="315" t="e">
        <f t="shared" si="58"/>
        <v>#DIV/0!</v>
      </c>
    </row>
    <row r="122" spans="2:44" ht="18" customHeight="1" x14ac:dyDescent="0.25">
      <c r="B122" s="565"/>
      <c r="C122" s="570"/>
      <c r="D122" s="52" t="s">
        <v>297</v>
      </c>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252"/>
      <c r="AR122" s="316"/>
    </row>
    <row r="123" spans="2:44" ht="18" customHeight="1" x14ac:dyDescent="0.25">
      <c r="B123" s="565"/>
      <c r="C123" s="570"/>
      <c r="D123" s="50" t="s">
        <v>298</v>
      </c>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239"/>
      <c r="AR123" s="317"/>
    </row>
    <row r="124" spans="2:44" ht="18" customHeight="1" x14ac:dyDescent="0.25">
      <c r="B124" s="565"/>
      <c r="C124" s="570"/>
      <c r="D124" s="50" t="s">
        <v>163</v>
      </c>
      <c r="E124" s="72"/>
      <c r="F124" s="318"/>
      <c r="G124" s="72"/>
      <c r="H124" s="318"/>
      <c r="I124" s="72"/>
      <c r="J124" s="318"/>
      <c r="K124" s="72"/>
      <c r="L124" s="318"/>
      <c r="M124" s="72"/>
      <c r="N124" s="318"/>
      <c r="O124" s="72"/>
      <c r="P124" s="318"/>
      <c r="Q124" s="72"/>
      <c r="R124" s="318"/>
      <c r="S124" s="72"/>
      <c r="T124" s="318"/>
      <c r="U124" s="72"/>
      <c r="V124" s="318"/>
      <c r="W124" s="72"/>
      <c r="X124" s="318"/>
      <c r="Y124" s="72"/>
      <c r="Z124" s="318"/>
      <c r="AA124" s="72"/>
      <c r="AB124" s="318"/>
      <c r="AC124" s="72"/>
      <c r="AD124" s="318"/>
      <c r="AE124" s="72"/>
      <c r="AF124" s="318"/>
      <c r="AG124" s="72"/>
      <c r="AH124" s="318"/>
      <c r="AI124" s="72"/>
      <c r="AJ124" s="318"/>
      <c r="AK124" s="72"/>
      <c r="AL124" s="318"/>
      <c r="AM124" s="72"/>
      <c r="AN124" s="318"/>
      <c r="AO124" s="72"/>
      <c r="AP124" s="318"/>
      <c r="AQ124" s="72"/>
      <c r="AR124" s="318"/>
    </row>
    <row r="125" spans="2:44" ht="18" customHeight="1" x14ac:dyDescent="0.25">
      <c r="B125" s="565"/>
      <c r="C125" s="570"/>
      <c r="D125" s="50" t="s">
        <v>164</v>
      </c>
      <c r="E125" s="72"/>
      <c r="F125" s="318"/>
      <c r="G125" s="72"/>
      <c r="H125" s="318"/>
      <c r="I125" s="72"/>
      <c r="J125" s="318"/>
      <c r="K125" s="72"/>
      <c r="L125" s="318"/>
      <c r="M125" s="72"/>
      <c r="N125" s="318"/>
      <c r="O125" s="72"/>
      <c r="P125" s="318"/>
      <c r="Q125" s="72"/>
      <c r="R125" s="318"/>
      <c r="S125" s="72"/>
      <c r="T125" s="318"/>
      <c r="U125" s="72"/>
      <c r="V125" s="318"/>
      <c r="W125" s="72"/>
      <c r="X125" s="318"/>
      <c r="Y125" s="72"/>
      <c r="Z125" s="318"/>
      <c r="AA125" s="72"/>
      <c r="AB125" s="318"/>
      <c r="AC125" s="72"/>
      <c r="AD125" s="318"/>
      <c r="AE125" s="72"/>
      <c r="AF125" s="318"/>
      <c r="AG125" s="72"/>
      <c r="AH125" s="318"/>
      <c r="AI125" s="72"/>
      <c r="AJ125" s="318"/>
      <c r="AK125" s="72"/>
      <c r="AL125" s="318"/>
      <c r="AM125" s="72"/>
      <c r="AN125" s="318"/>
      <c r="AO125" s="72"/>
      <c r="AP125" s="318"/>
      <c r="AQ125" s="72"/>
      <c r="AR125" s="318"/>
    </row>
    <row r="126" spans="2:44" ht="18" customHeight="1" x14ac:dyDescent="0.25">
      <c r="B126" s="565"/>
      <c r="C126" s="570"/>
      <c r="D126" s="50" t="s">
        <v>165</v>
      </c>
      <c r="E126" s="72"/>
      <c r="F126" s="318"/>
      <c r="G126" s="72"/>
      <c r="H126" s="318"/>
      <c r="I126" s="72"/>
      <c r="J126" s="318"/>
      <c r="K126" s="72"/>
      <c r="L126" s="318"/>
      <c r="M126" s="72"/>
      <c r="N126" s="318"/>
      <c r="O126" s="72"/>
      <c r="P126" s="318"/>
      <c r="Q126" s="72"/>
      <c r="R126" s="318"/>
      <c r="S126" s="72"/>
      <c r="T126" s="318"/>
      <c r="U126" s="72"/>
      <c r="V126" s="318"/>
      <c r="W126" s="72"/>
      <c r="X126" s="318"/>
      <c r="Y126" s="72"/>
      <c r="Z126" s="318"/>
      <c r="AA126" s="72"/>
      <c r="AB126" s="318"/>
      <c r="AC126" s="72"/>
      <c r="AD126" s="318"/>
      <c r="AE126" s="72"/>
      <c r="AF126" s="318"/>
      <c r="AG126" s="72"/>
      <c r="AH126" s="318"/>
      <c r="AI126" s="72"/>
      <c r="AJ126" s="318"/>
      <c r="AK126" s="72"/>
      <c r="AL126" s="318"/>
      <c r="AM126" s="72"/>
      <c r="AN126" s="318"/>
      <c r="AO126" s="72"/>
      <c r="AP126" s="318"/>
      <c r="AQ126" s="72"/>
      <c r="AR126" s="318"/>
    </row>
    <row r="127" spans="2:44" ht="18" customHeight="1" x14ac:dyDescent="0.25">
      <c r="B127" s="565"/>
      <c r="C127" s="570"/>
      <c r="D127" s="50" t="s">
        <v>166</v>
      </c>
      <c r="E127" s="72"/>
      <c r="F127" s="318"/>
      <c r="G127" s="72"/>
      <c r="H127" s="318"/>
      <c r="I127" s="72"/>
      <c r="J127" s="318"/>
      <c r="K127" s="72"/>
      <c r="L127" s="318"/>
      <c r="M127" s="72"/>
      <c r="N127" s="318"/>
      <c r="O127" s="72"/>
      <c r="P127" s="318"/>
      <c r="Q127" s="72"/>
      <c r="R127" s="318"/>
      <c r="S127" s="72"/>
      <c r="T127" s="318"/>
      <c r="U127" s="72"/>
      <c r="V127" s="318"/>
      <c r="W127" s="72"/>
      <c r="X127" s="318"/>
      <c r="Y127" s="72"/>
      <c r="Z127" s="318"/>
      <c r="AA127" s="72"/>
      <c r="AB127" s="318"/>
      <c r="AC127" s="72"/>
      <c r="AD127" s="318"/>
      <c r="AE127" s="72"/>
      <c r="AF127" s="318"/>
      <c r="AG127" s="72"/>
      <c r="AH127" s="318"/>
      <c r="AI127" s="72"/>
      <c r="AJ127" s="318"/>
      <c r="AK127" s="72"/>
      <c r="AL127" s="318"/>
      <c r="AM127" s="72"/>
      <c r="AN127" s="318"/>
      <c r="AO127" s="72"/>
      <c r="AP127" s="318"/>
      <c r="AQ127" s="72"/>
      <c r="AR127" s="318"/>
    </row>
    <row r="128" spans="2:44" ht="18" customHeight="1" x14ac:dyDescent="0.25">
      <c r="B128" s="565"/>
      <c r="C128" s="570"/>
      <c r="D128" s="50" t="s">
        <v>167</v>
      </c>
      <c r="E128" s="72"/>
      <c r="F128" s="318"/>
      <c r="G128" s="72"/>
      <c r="H128" s="318"/>
      <c r="I128" s="72"/>
      <c r="J128" s="318"/>
      <c r="K128" s="72"/>
      <c r="L128" s="318"/>
      <c r="M128" s="72"/>
      <c r="N128" s="318"/>
      <c r="O128" s="72"/>
      <c r="P128" s="318"/>
      <c r="Q128" s="72"/>
      <c r="R128" s="318"/>
      <c r="S128" s="72"/>
      <c r="T128" s="318"/>
      <c r="U128" s="72"/>
      <c r="V128" s="318"/>
      <c r="W128" s="72"/>
      <c r="X128" s="318"/>
      <c r="Y128" s="72"/>
      <c r="Z128" s="318"/>
      <c r="AA128" s="72"/>
      <c r="AB128" s="318"/>
      <c r="AC128" s="72"/>
      <c r="AD128" s="318"/>
      <c r="AE128" s="72"/>
      <c r="AF128" s="318"/>
      <c r="AG128" s="72"/>
      <c r="AH128" s="318"/>
      <c r="AI128" s="72"/>
      <c r="AJ128" s="318"/>
      <c r="AK128" s="72"/>
      <c r="AL128" s="318"/>
      <c r="AM128" s="72"/>
      <c r="AN128" s="318"/>
      <c r="AO128" s="72"/>
      <c r="AP128" s="318"/>
      <c r="AQ128" s="72"/>
      <c r="AR128" s="318"/>
    </row>
    <row r="129" spans="2:44" ht="18" customHeight="1" x14ac:dyDescent="0.25">
      <c r="B129" s="565"/>
      <c r="C129" s="570"/>
      <c r="D129" s="50" t="s">
        <v>168</v>
      </c>
      <c r="E129" s="72"/>
      <c r="F129" s="318"/>
      <c r="G129" s="72"/>
      <c r="H129" s="318"/>
      <c r="I129" s="72"/>
      <c r="J129" s="318"/>
      <c r="K129" s="72"/>
      <c r="L129" s="318"/>
      <c r="M129" s="72"/>
      <c r="N129" s="318"/>
      <c r="O129" s="72"/>
      <c r="P129" s="318"/>
      <c r="Q129" s="72"/>
      <c r="R129" s="318"/>
      <c r="S129" s="72"/>
      <c r="T129" s="318"/>
      <c r="U129" s="72"/>
      <c r="V129" s="318"/>
      <c r="W129" s="72"/>
      <c r="X129" s="318"/>
      <c r="Y129" s="72"/>
      <c r="Z129" s="318"/>
      <c r="AA129" s="72"/>
      <c r="AB129" s="318"/>
      <c r="AC129" s="72"/>
      <c r="AD129" s="318"/>
      <c r="AE129" s="72"/>
      <c r="AF129" s="318"/>
      <c r="AG129" s="72"/>
      <c r="AH129" s="318"/>
      <c r="AI129" s="72"/>
      <c r="AJ129" s="318"/>
      <c r="AK129" s="72"/>
      <c r="AL129" s="318"/>
      <c r="AM129" s="72"/>
      <c r="AN129" s="318"/>
      <c r="AO129" s="72"/>
      <c r="AP129" s="318"/>
      <c r="AQ129" s="72"/>
      <c r="AR129" s="318"/>
    </row>
    <row r="130" spans="2:44" ht="15.75" customHeight="1" thickBot="1" x14ac:dyDescent="0.3">
      <c r="B130" s="567"/>
      <c r="C130" s="571"/>
      <c r="D130" s="51" t="s">
        <v>169</v>
      </c>
      <c r="E130" s="73"/>
      <c r="F130" s="319"/>
      <c r="G130" s="73"/>
      <c r="H130" s="319"/>
      <c r="I130" s="73"/>
      <c r="J130" s="319"/>
      <c r="K130" s="73"/>
      <c r="L130" s="319"/>
      <c r="M130" s="73"/>
      <c r="N130" s="319"/>
      <c r="O130" s="73"/>
      <c r="P130" s="319"/>
      <c r="Q130" s="73"/>
      <c r="R130" s="319"/>
      <c r="S130" s="73"/>
      <c r="T130" s="319"/>
      <c r="U130" s="73"/>
      <c r="V130" s="319"/>
      <c r="W130" s="73"/>
      <c r="X130" s="319"/>
      <c r="Y130" s="73"/>
      <c r="Z130" s="319"/>
      <c r="AA130" s="73"/>
      <c r="AB130" s="319"/>
      <c r="AC130" s="73"/>
      <c r="AD130" s="319"/>
      <c r="AE130" s="73"/>
      <c r="AF130" s="319"/>
      <c r="AG130" s="73"/>
      <c r="AH130" s="319"/>
      <c r="AI130" s="73"/>
      <c r="AJ130" s="319"/>
      <c r="AK130" s="73"/>
      <c r="AL130" s="319"/>
      <c r="AM130" s="73"/>
      <c r="AN130" s="319"/>
      <c r="AO130" s="73"/>
      <c r="AP130" s="319"/>
      <c r="AQ130" s="73"/>
      <c r="AR130" s="319"/>
    </row>
    <row r="131" spans="2:44" ht="18" customHeight="1" x14ac:dyDescent="0.25">
      <c r="B131" s="572" t="s">
        <v>170</v>
      </c>
      <c r="C131" s="573"/>
      <c r="D131" s="67" t="s">
        <v>171</v>
      </c>
      <c r="E131" s="74">
        <f t="shared" ref="E131:AJ131" si="59">E67+E82</f>
        <v>830000000</v>
      </c>
      <c r="F131" s="320">
        <f t="shared" si="59"/>
        <v>760000000</v>
      </c>
      <c r="G131" s="74">
        <f t="shared" si="59"/>
        <v>920000000</v>
      </c>
      <c r="H131" s="320">
        <f t="shared" si="59"/>
        <v>583000000</v>
      </c>
      <c r="I131" s="74">
        <f t="shared" si="59"/>
        <v>228000000</v>
      </c>
      <c r="J131" s="320">
        <f t="shared" si="59"/>
        <v>35000000</v>
      </c>
      <c r="K131" s="74">
        <f t="shared" si="59"/>
        <v>340000000</v>
      </c>
      <c r="L131" s="320">
        <f t="shared" si="59"/>
        <v>394500000</v>
      </c>
      <c r="M131" s="74">
        <f t="shared" si="59"/>
        <v>360000000</v>
      </c>
      <c r="N131" s="320">
        <f t="shared" si="59"/>
        <v>350000000</v>
      </c>
      <c r="O131" s="74">
        <f t="shared" si="59"/>
        <v>301030000</v>
      </c>
      <c r="P131" s="320">
        <f t="shared" si="59"/>
        <v>340000000</v>
      </c>
      <c r="Q131" s="74">
        <f t="shared" si="59"/>
        <v>410000000</v>
      </c>
      <c r="R131" s="320">
        <f t="shared" si="59"/>
        <v>275000000</v>
      </c>
      <c r="S131" s="74">
        <f t="shared" si="59"/>
        <v>12000000</v>
      </c>
      <c r="T131" s="320">
        <f t="shared" si="59"/>
        <v>0</v>
      </c>
      <c r="U131" s="74">
        <f t="shared" si="59"/>
        <v>0</v>
      </c>
      <c r="V131" s="320">
        <f t="shared" si="59"/>
        <v>0</v>
      </c>
      <c r="W131" s="74">
        <f t="shared" si="59"/>
        <v>0</v>
      </c>
      <c r="X131" s="320">
        <f t="shared" si="59"/>
        <v>0</v>
      </c>
      <c r="Y131" s="74">
        <f t="shared" si="59"/>
        <v>0</v>
      </c>
      <c r="Z131" s="320">
        <f t="shared" si="59"/>
        <v>0</v>
      </c>
      <c r="AA131" s="74">
        <f t="shared" si="59"/>
        <v>0</v>
      </c>
      <c r="AB131" s="320">
        <f t="shared" si="59"/>
        <v>0</v>
      </c>
      <c r="AC131" s="74">
        <f t="shared" si="59"/>
        <v>0</v>
      </c>
      <c r="AD131" s="320">
        <f t="shared" si="59"/>
        <v>0</v>
      </c>
      <c r="AE131" s="74">
        <f t="shared" si="59"/>
        <v>0</v>
      </c>
      <c r="AF131" s="320">
        <f t="shared" si="59"/>
        <v>0</v>
      </c>
      <c r="AG131" s="74">
        <f t="shared" si="59"/>
        <v>0</v>
      </c>
      <c r="AH131" s="320">
        <f t="shared" si="59"/>
        <v>0</v>
      </c>
      <c r="AI131" s="74">
        <f t="shared" si="59"/>
        <v>0</v>
      </c>
      <c r="AJ131" s="320">
        <f t="shared" si="59"/>
        <v>0</v>
      </c>
      <c r="AK131" s="74">
        <f t="shared" ref="AK131:AR131" si="60">AK67+AK82</f>
        <v>0</v>
      </c>
      <c r="AL131" s="320">
        <f t="shared" si="60"/>
        <v>0</v>
      </c>
      <c r="AM131" s="74">
        <f t="shared" si="60"/>
        <v>0</v>
      </c>
      <c r="AN131" s="320">
        <f t="shared" si="60"/>
        <v>0</v>
      </c>
      <c r="AO131" s="74">
        <f t="shared" si="60"/>
        <v>0</v>
      </c>
      <c r="AP131" s="320">
        <f t="shared" si="60"/>
        <v>0</v>
      </c>
      <c r="AQ131" s="74">
        <f t="shared" si="60"/>
        <v>0</v>
      </c>
      <c r="AR131" s="320">
        <f t="shared" si="60"/>
        <v>0</v>
      </c>
    </row>
    <row r="132" spans="2:44" ht="18" customHeight="1" x14ac:dyDescent="0.25">
      <c r="B132" s="574"/>
      <c r="C132" s="575"/>
      <c r="D132" s="21" t="s">
        <v>172</v>
      </c>
      <c r="E132" s="240">
        <f>E67/E62</f>
        <v>2.8032738313767118</v>
      </c>
      <c r="F132" s="321">
        <f t="shared" ref="F132:AR132" si="61">F67/F62</f>
        <v>2.9739039924661097</v>
      </c>
      <c r="G132" s="240">
        <f t="shared" si="61"/>
        <v>2.9809904531869846</v>
      </c>
      <c r="H132" s="321">
        <f t="shared" si="61"/>
        <v>0.32301480484522205</v>
      </c>
      <c r="I132" s="240">
        <f t="shared" si="61"/>
        <v>1.1881188118811881</v>
      </c>
      <c r="J132" s="321">
        <f t="shared" si="61"/>
        <v>2.2551546391752577</v>
      </c>
      <c r="K132" s="240">
        <f t="shared" si="61"/>
        <v>3.4433569503348394</v>
      </c>
      <c r="L132" s="321">
        <f t="shared" si="61"/>
        <v>2.5640382662336849</v>
      </c>
      <c r="M132" s="240">
        <f t="shared" si="61"/>
        <v>2.9366850698931048</v>
      </c>
      <c r="N132" s="321">
        <f t="shared" si="61"/>
        <v>2.72561282905983</v>
      </c>
      <c r="O132" s="240">
        <f t="shared" si="61"/>
        <v>2.0272493779597078</v>
      </c>
      <c r="P132" s="321">
        <f t="shared" si="61"/>
        <v>2.9535864978902953</v>
      </c>
      <c r="Q132" s="240">
        <f t="shared" si="61"/>
        <v>2.2299770168533746</v>
      </c>
      <c r="R132" s="321">
        <f t="shared" si="61"/>
        <v>1.7021276595744681</v>
      </c>
      <c r="S132" s="240">
        <f t="shared" si="61"/>
        <v>1.1846001974333662</v>
      </c>
      <c r="T132" s="321">
        <f t="shared" si="61"/>
        <v>0</v>
      </c>
      <c r="U132" s="240">
        <f t="shared" si="61"/>
        <v>0</v>
      </c>
      <c r="V132" s="321">
        <f t="shared" si="61"/>
        <v>0</v>
      </c>
      <c r="W132" s="240">
        <f t="shared" si="61"/>
        <v>0</v>
      </c>
      <c r="X132" s="321">
        <f t="shared" si="61"/>
        <v>0</v>
      </c>
      <c r="Y132" s="240" t="e">
        <f t="shared" si="61"/>
        <v>#DIV/0!</v>
      </c>
      <c r="Z132" s="321" t="e">
        <f t="shared" si="61"/>
        <v>#DIV/0!</v>
      </c>
      <c r="AA132" s="240" t="e">
        <f t="shared" si="61"/>
        <v>#DIV/0!</v>
      </c>
      <c r="AB132" s="321" t="e">
        <f t="shared" si="61"/>
        <v>#DIV/0!</v>
      </c>
      <c r="AC132" s="240" t="e">
        <f t="shared" si="61"/>
        <v>#DIV/0!</v>
      </c>
      <c r="AD132" s="321" t="e">
        <f t="shared" si="61"/>
        <v>#DIV/0!</v>
      </c>
      <c r="AE132" s="240" t="e">
        <f t="shared" si="61"/>
        <v>#DIV/0!</v>
      </c>
      <c r="AF132" s="321" t="e">
        <f t="shared" si="61"/>
        <v>#DIV/0!</v>
      </c>
      <c r="AG132" s="240" t="e">
        <f t="shared" si="61"/>
        <v>#DIV/0!</v>
      </c>
      <c r="AH132" s="321" t="e">
        <f t="shared" si="61"/>
        <v>#DIV/0!</v>
      </c>
      <c r="AI132" s="240" t="e">
        <f t="shared" si="61"/>
        <v>#DIV/0!</v>
      </c>
      <c r="AJ132" s="321" t="e">
        <f t="shared" si="61"/>
        <v>#DIV/0!</v>
      </c>
      <c r="AK132" s="240" t="e">
        <f t="shared" si="61"/>
        <v>#DIV/0!</v>
      </c>
      <c r="AL132" s="321" t="e">
        <f t="shared" si="61"/>
        <v>#DIV/0!</v>
      </c>
      <c r="AM132" s="240" t="e">
        <f t="shared" si="61"/>
        <v>#DIV/0!</v>
      </c>
      <c r="AN132" s="321" t="e">
        <f t="shared" si="61"/>
        <v>#DIV/0!</v>
      </c>
      <c r="AO132" s="240" t="e">
        <f t="shared" si="61"/>
        <v>#DIV/0!</v>
      </c>
      <c r="AP132" s="321" t="e">
        <f t="shared" si="61"/>
        <v>#DIV/0!</v>
      </c>
      <c r="AQ132" s="240" t="e">
        <f t="shared" si="61"/>
        <v>#DIV/0!</v>
      </c>
      <c r="AR132" s="321" t="e">
        <f t="shared" si="61"/>
        <v>#DIV/0!</v>
      </c>
    </row>
    <row r="133" spans="2:44" ht="21" customHeight="1" x14ac:dyDescent="0.25">
      <c r="B133" s="574"/>
      <c r="C133" s="575"/>
      <c r="D133" s="21" t="s">
        <v>173</v>
      </c>
      <c r="E133" s="241" t="s">
        <v>561</v>
      </c>
      <c r="F133" s="303" t="s">
        <v>561</v>
      </c>
      <c r="G133" s="241" t="s">
        <v>561</v>
      </c>
      <c r="H133" s="303" t="s">
        <v>561</v>
      </c>
      <c r="I133" s="241" t="s">
        <v>561</v>
      </c>
      <c r="J133" s="303" t="s">
        <v>561</v>
      </c>
      <c r="K133" s="241" t="s">
        <v>561</v>
      </c>
      <c r="L133" s="303" t="s">
        <v>561</v>
      </c>
      <c r="M133" s="241" t="s">
        <v>561</v>
      </c>
      <c r="N133" s="303" t="s">
        <v>561</v>
      </c>
      <c r="O133" s="241" t="s">
        <v>561</v>
      </c>
      <c r="P133" s="303" t="s">
        <v>561</v>
      </c>
      <c r="Q133" s="241" t="s">
        <v>561</v>
      </c>
      <c r="R133" s="303" t="s">
        <v>561</v>
      </c>
      <c r="S133" s="241"/>
      <c r="T133" s="303"/>
      <c r="U133" s="241"/>
      <c r="V133" s="303"/>
      <c r="W133" s="241"/>
      <c r="X133" s="303"/>
      <c r="Y133" s="241"/>
      <c r="Z133" s="303"/>
      <c r="AA133" s="241"/>
      <c r="AB133" s="303"/>
      <c r="AC133" s="241"/>
      <c r="AD133" s="303"/>
      <c r="AE133" s="241"/>
      <c r="AF133" s="303"/>
      <c r="AG133" s="241"/>
      <c r="AH133" s="303"/>
      <c r="AI133" s="241"/>
      <c r="AJ133" s="303"/>
      <c r="AK133" s="241"/>
      <c r="AL133" s="303"/>
      <c r="AM133" s="241"/>
      <c r="AN133" s="303"/>
      <c r="AO133" s="241"/>
      <c r="AP133" s="303"/>
      <c r="AQ133" s="241"/>
      <c r="AR133" s="303"/>
    </row>
    <row r="134" spans="2:44" ht="44.25" customHeight="1" thickBot="1" x14ac:dyDescent="0.3">
      <c r="B134" s="576"/>
      <c r="C134" s="577"/>
      <c r="D134" s="228" t="s">
        <v>220</v>
      </c>
      <c r="E134" s="241"/>
      <c r="F134" s="303"/>
      <c r="G134" s="241"/>
      <c r="H134" s="303"/>
      <c r="I134" s="241"/>
      <c r="J134" s="303"/>
      <c r="K134" s="241"/>
      <c r="L134" s="303"/>
      <c r="M134" s="241"/>
      <c r="N134" s="303"/>
      <c r="O134" s="241"/>
      <c r="P134" s="303"/>
      <c r="Q134" s="241"/>
      <c r="R134" s="303"/>
      <c r="S134" s="241"/>
      <c r="T134" s="303"/>
      <c r="U134" s="241"/>
      <c r="V134" s="303"/>
      <c r="W134" s="241"/>
      <c r="X134" s="303"/>
      <c r="Y134" s="241"/>
      <c r="Z134" s="303"/>
      <c r="AA134" s="241"/>
      <c r="AB134" s="303"/>
      <c r="AC134" s="241"/>
      <c r="AD134" s="303"/>
      <c r="AE134" s="241"/>
      <c r="AF134" s="303"/>
      <c r="AG134" s="241"/>
      <c r="AH134" s="303"/>
      <c r="AI134" s="241"/>
      <c r="AJ134" s="303"/>
      <c r="AK134" s="241"/>
      <c r="AL134" s="303"/>
      <c r="AM134" s="241"/>
      <c r="AN134" s="303"/>
      <c r="AO134" s="241"/>
      <c r="AP134" s="303"/>
      <c r="AQ134" s="241"/>
      <c r="AR134" s="303"/>
    </row>
    <row r="135" spans="2:44" ht="18" customHeight="1" x14ac:dyDescent="0.4">
      <c r="B135" s="563" t="s">
        <v>40</v>
      </c>
      <c r="C135" s="569"/>
      <c r="D135" s="21" t="s">
        <v>44</v>
      </c>
      <c r="E135" s="1" t="s">
        <v>555</v>
      </c>
      <c r="F135" s="322" t="s">
        <v>555</v>
      </c>
      <c r="G135" s="1" t="s">
        <v>555</v>
      </c>
      <c r="H135" s="327" t="s">
        <v>563</v>
      </c>
      <c r="I135" s="1"/>
      <c r="J135" s="327"/>
      <c r="K135" s="1" t="s">
        <v>557</v>
      </c>
      <c r="L135" s="327"/>
      <c r="M135" s="1" t="s">
        <v>564</v>
      </c>
      <c r="N135" s="327" t="s">
        <v>565</v>
      </c>
      <c r="O135" s="1"/>
      <c r="P135" s="327"/>
      <c r="Q135" s="1" t="s">
        <v>564</v>
      </c>
      <c r="R135" s="327"/>
      <c r="S135" s="1"/>
      <c r="T135" s="327"/>
      <c r="U135" s="1"/>
      <c r="V135" s="327"/>
      <c r="W135" s="1"/>
      <c r="X135" s="327"/>
      <c r="Y135" s="1"/>
      <c r="Z135" s="327"/>
      <c r="AA135" s="1"/>
      <c r="AB135" s="327"/>
      <c r="AC135" s="1"/>
      <c r="AD135" s="327"/>
      <c r="AE135" s="1"/>
      <c r="AF135" s="327"/>
      <c r="AG135" s="1"/>
      <c r="AH135" s="327"/>
      <c r="AI135" s="1"/>
      <c r="AJ135" s="322"/>
      <c r="AK135" s="1"/>
      <c r="AL135" s="327"/>
      <c r="AM135" s="1"/>
      <c r="AN135" s="327"/>
      <c r="AO135" s="1"/>
      <c r="AP135" s="327"/>
      <c r="AQ135" s="1"/>
      <c r="AR135" s="327"/>
    </row>
    <row r="136" spans="2:44" ht="18" customHeight="1" x14ac:dyDescent="0.4">
      <c r="B136" s="565"/>
      <c r="C136" s="570"/>
      <c r="D136" s="21" t="s">
        <v>20</v>
      </c>
      <c r="E136" s="1">
        <v>100</v>
      </c>
      <c r="F136" s="1">
        <v>100</v>
      </c>
      <c r="G136" s="1">
        <v>100</v>
      </c>
      <c r="H136" s="1">
        <v>100</v>
      </c>
      <c r="I136" s="1">
        <v>100</v>
      </c>
      <c r="J136" s="1">
        <v>100</v>
      </c>
      <c r="K136" s="1">
        <v>100</v>
      </c>
      <c r="L136" s="1">
        <v>100</v>
      </c>
      <c r="M136" s="1">
        <v>100</v>
      </c>
      <c r="N136" s="1">
        <v>100</v>
      </c>
      <c r="O136" s="1">
        <v>100</v>
      </c>
      <c r="P136" s="1">
        <v>100</v>
      </c>
      <c r="Q136" s="1">
        <v>100</v>
      </c>
      <c r="R136" s="1">
        <v>100</v>
      </c>
      <c r="S136" s="1">
        <v>100</v>
      </c>
      <c r="T136" s="327"/>
      <c r="U136" s="1"/>
      <c r="V136" s="327"/>
      <c r="W136" s="1"/>
      <c r="X136" s="327"/>
      <c r="Y136" s="1"/>
      <c r="Z136" s="327"/>
      <c r="AA136" s="1"/>
      <c r="AB136" s="327"/>
      <c r="AC136" s="1"/>
      <c r="AD136" s="327"/>
      <c r="AE136" s="1"/>
      <c r="AF136" s="327"/>
      <c r="AG136" s="1"/>
      <c r="AH136" s="327"/>
      <c r="AI136" s="1"/>
      <c r="AJ136" s="322"/>
      <c r="AK136" s="1"/>
      <c r="AL136" s="327"/>
      <c r="AM136" s="1"/>
      <c r="AN136" s="327"/>
      <c r="AO136" s="1"/>
      <c r="AP136" s="327"/>
      <c r="AQ136" s="1"/>
      <c r="AR136" s="327"/>
    </row>
    <row r="137" spans="2:44" ht="18" customHeight="1" x14ac:dyDescent="0.4">
      <c r="B137" s="565"/>
      <c r="C137" s="570"/>
      <c r="D137" s="21" t="s">
        <v>64</v>
      </c>
      <c r="E137" s="1"/>
      <c r="F137" s="322"/>
      <c r="G137" s="1"/>
      <c r="H137" s="327"/>
      <c r="I137" s="1"/>
      <c r="J137" s="327"/>
      <c r="K137" s="1"/>
      <c r="L137" s="327"/>
      <c r="M137" s="1"/>
      <c r="N137" s="327"/>
      <c r="O137" s="1"/>
      <c r="P137" s="327"/>
      <c r="Q137" s="1"/>
      <c r="R137" s="327"/>
      <c r="S137" s="1"/>
      <c r="T137" s="327"/>
      <c r="U137" s="1"/>
      <c r="V137" s="327"/>
      <c r="W137" s="1"/>
      <c r="X137" s="327"/>
      <c r="Y137" s="1"/>
      <c r="Z137" s="327"/>
      <c r="AA137" s="1"/>
      <c r="AB137" s="327"/>
      <c r="AC137" s="1"/>
      <c r="AD137" s="327"/>
      <c r="AE137" s="1"/>
      <c r="AF137" s="327"/>
      <c r="AG137" s="1"/>
      <c r="AH137" s="327"/>
      <c r="AI137" s="1"/>
      <c r="AJ137" s="322"/>
      <c r="AK137" s="1"/>
      <c r="AL137" s="327"/>
      <c r="AM137" s="1"/>
      <c r="AN137" s="327"/>
      <c r="AO137" s="1"/>
      <c r="AP137" s="327"/>
      <c r="AQ137" s="1"/>
      <c r="AR137" s="327"/>
    </row>
    <row r="138" spans="2:44" ht="18" customHeight="1" x14ac:dyDescent="0.4">
      <c r="B138" s="565"/>
      <c r="C138" s="570"/>
      <c r="D138" s="21" t="s">
        <v>25</v>
      </c>
      <c r="E138" s="1"/>
      <c r="F138" s="322"/>
      <c r="G138" s="1"/>
      <c r="H138" s="327"/>
      <c r="I138" s="1"/>
      <c r="J138" s="327"/>
      <c r="K138" s="1"/>
      <c r="L138" s="327"/>
      <c r="M138" s="1"/>
      <c r="N138" s="327"/>
      <c r="O138" s="1"/>
      <c r="P138" s="327"/>
      <c r="Q138" s="1"/>
      <c r="R138" s="327"/>
      <c r="S138" s="1"/>
      <c r="T138" s="327"/>
      <c r="U138" s="1"/>
      <c r="V138" s="327"/>
      <c r="W138" s="1"/>
      <c r="X138" s="327"/>
      <c r="Y138" s="1"/>
      <c r="Z138" s="327"/>
      <c r="AA138" s="1"/>
      <c r="AB138" s="327"/>
      <c r="AC138" s="1"/>
      <c r="AD138" s="327"/>
      <c r="AE138" s="1"/>
      <c r="AF138" s="327"/>
      <c r="AG138" s="1"/>
      <c r="AH138" s="327"/>
      <c r="AI138" s="1"/>
      <c r="AJ138" s="322"/>
      <c r="AK138" s="1"/>
      <c r="AL138" s="327"/>
      <c r="AM138" s="1"/>
      <c r="AN138" s="327"/>
      <c r="AO138" s="1"/>
      <c r="AP138" s="327"/>
      <c r="AQ138" s="1"/>
      <c r="AR138" s="327"/>
    </row>
    <row r="139" spans="2:44" ht="18" customHeight="1" x14ac:dyDescent="0.4">
      <c r="B139" s="565"/>
      <c r="C139" s="570"/>
      <c r="D139" s="21" t="s">
        <v>45</v>
      </c>
      <c r="E139" s="1" t="s">
        <v>562</v>
      </c>
      <c r="F139" s="322"/>
      <c r="G139" s="1" t="s">
        <v>562</v>
      </c>
      <c r="H139" s="327"/>
      <c r="I139" s="1"/>
      <c r="J139" s="327"/>
      <c r="K139" s="1"/>
      <c r="L139" s="327"/>
      <c r="M139" s="1"/>
      <c r="N139" s="327"/>
      <c r="O139" s="1"/>
      <c r="P139" s="327"/>
      <c r="Q139" s="1"/>
      <c r="R139" s="327"/>
      <c r="S139" s="1"/>
      <c r="T139" s="327"/>
      <c r="U139" s="1"/>
      <c r="V139" s="327"/>
      <c r="W139" s="1"/>
      <c r="X139" s="327"/>
      <c r="Y139" s="1"/>
      <c r="Z139" s="327"/>
      <c r="AA139" s="1"/>
      <c r="AB139" s="327"/>
      <c r="AC139" s="1"/>
      <c r="AD139" s="327"/>
      <c r="AE139" s="1"/>
      <c r="AF139" s="327"/>
      <c r="AG139" s="1"/>
      <c r="AH139" s="327"/>
      <c r="AI139" s="1"/>
      <c r="AJ139" s="322"/>
      <c r="AK139" s="1"/>
      <c r="AL139" s="327"/>
      <c r="AM139" s="1"/>
      <c r="AN139" s="327"/>
      <c r="AO139" s="1"/>
      <c r="AP139" s="327"/>
      <c r="AQ139" s="1"/>
      <c r="AR139" s="327"/>
    </row>
    <row r="140" spans="2:44" ht="18" customHeight="1" x14ac:dyDescent="0.4">
      <c r="B140" s="565"/>
      <c r="C140" s="570"/>
      <c r="D140" s="21" t="s">
        <v>46</v>
      </c>
      <c r="E140" s="1">
        <v>18</v>
      </c>
      <c r="F140" s="322"/>
      <c r="G140" s="1">
        <v>18</v>
      </c>
      <c r="H140" s="327">
        <v>18</v>
      </c>
      <c r="I140" s="1"/>
      <c r="J140" s="327"/>
      <c r="K140" s="1"/>
      <c r="L140" s="327"/>
      <c r="M140" s="1"/>
      <c r="N140" s="327"/>
      <c r="O140" s="1"/>
      <c r="P140" s="327"/>
      <c r="Q140" s="1"/>
      <c r="R140" s="327"/>
      <c r="S140" s="1"/>
      <c r="T140" s="327"/>
      <c r="U140" s="1"/>
      <c r="V140" s="327"/>
      <c r="W140" s="1"/>
      <c r="X140" s="327"/>
      <c r="Y140" s="1"/>
      <c r="Z140" s="327"/>
      <c r="AA140" s="1"/>
      <c r="AB140" s="327"/>
      <c r="AC140" s="1"/>
      <c r="AD140" s="327"/>
      <c r="AE140" s="1"/>
      <c r="AF140" s="327"/>
      <c r="AG140" s="1"/>
      <c r="AH140" s="327"/>
      <c r="AI140" s="1"/>
      <c r="AJ140" s="322"/>
      <c r="AK140" s="1"/>
      <c r="AL140" s="327"/>
      <c r="AM140" s="1"/>
      <c r="AN140" s="327"/>
      <c r="AO140" s="1"/>
      <c r="AP140" s="327"/>
      <c r="AQ140" s="1"/>
      <c r="AR140" s="327"/>
    </row>
    <row r="141" spans="2:44" ht="18" customHeight="1" x14ac:dyDescent="0.4">
      <c r="B141" s="565"/>
      <c r="C141" s="570"/>
      <c r="D141" s="21" t="s">
        <v>66</v>
      </c>
      <c r="E141" s="1"/>
      <c r="F141" s="322"/>
      <c r="G141" s="1"/>
      <c r="H141" s="327"/>
      <c r="I141" s="1"/>
      <c r="J141" s="327"/>
      <c r="K141" s="1"/>
      <c r="L141" s="327"/>
      <c r="M141" s="1"/>
      <c r="N141" s="327"/>
      <c r="O141" s="1"/>
      <c r="P141" s="327"/>
      <c r="Q141" s="1"/>
      <c r="R141" s="327"/>
      <c r="S141" s="1"/>
      <c r="T141" s="327"/>
      <c r="U141" s="1"/>
      <c r="V141" s="327"/>
      <c r="W141" s="1"/>
      <c r="X141" s="327"/>
      <c r="Y141" s="1"/>
      <c r="Z141" s="327"/>
      <c r="AA141" s="1"/>
      <c r="AB141" s="327"/>
      <c r="AC141" s="1"/>
      <c r="AD141" s="327"/>
      <c r="AE141" s="1"/>
      <c r="AF141" s="327"/>
      <c r="AG141" s="1"/>
      <c r="AH141" s="327"/>
      <c r="AI141" s="1"/>
      <c r="AJ141" s="322"/>
      <c r="AK141" s="1"/>
      <c r="AL141" s="327"/>
      <c r="AM141" s="1"/>
      <c r="AN141" s="327"/>
      <c r="AO141" s="1"/>
      <c r="AP141" s="327"/>
      <c r="AQ141" s="1"/>
      <c r="AR141" s="327"/>
    </row>
    <row r="142" spans="2:44" ht="18" customHeight="1" x14ac:dyDescent="0.4">
      <c r="B142" s="565"/>
      <c r="C142" s="570"/>
      <c r="D142" s="21" t="s">
        <v>47</v>
      </c>
      <c r="E142" s="1"/>
      <c r="F142" s="322"/>
      <c r="G142" s="1"/>
      <c r="H142" s="327"/>
      <c r="I142" s="1"/>
      <c r="J142" s="327"/>
      <c r="K142" s="1"/>
      <c r="L142" s="327"/>
      <c r="M142" s="1"/>
      <c r="N142" s="327"/>
      <c r="O142" s="1"/>
      <c r="P142" s="327"/>
      <c r="Q142" s="1"/>
      <c r="R142" s="327"/>
      <c r="S142" s="1"/>
      <c r="T142" s="327"/>
      <c r="U142" s="1"/>
      <c r="V142" s="327"/>
      <c r="W142" s="1"/>
      <c r="X142" s="327"/>
      <c r="Y142" s="1"/>
      <c r="Z142" s="327"/>
      <c r="AA142" s="1"/>
      <c r="AB142" s="327"/>
      <c r="AC142" s="1"/>
      <c r="AD142" s="327"/>
      <c r="AE142" s="1"/>
      <c r="AF142" s="327"/>
      <c r="AG142" s="1"/>
      <c r="AH142" s="327"/>
      <c r="AI142" s="1"/>
      <c r="AJ142" s="322"/>
      <c r="AK142" s="1"/>
      <c r="AL142" s="327"/>
      <c r="AM142" s="1"/>
      <c r="AN142" s="327"/>
      <c r="AO142" s="1"/>
      <c r="AP142" s="327"/>
      <c r="AQ142" s="1"/>
      <c r="AR142" s="327"/>
    </row>
    <row r="143" spans="2:44" ht="18" customHeight="1" x14ac:dyDescent="0.4">
      <c r="B143" s="565"/>
      <c r="C143" s="570"/>
      <c r="D143" s="21" t="s">
        <v>48</v>
      </c>
      <c r="E143" s="1"/>
      <c r="F143" s="322"/>
      <c r="G143" s="1"/>
      <c r="H143" s="327"/>
      <c r="I143" s="1"/>
      <c r="J143" s="327"/>
      <c r="K143" s="1"/>
      <c r="L143" s="327"/>
      <c r="M143" s="1"/>
      <c r="N143" s="327"/>
      <c r="O143" s="1"/>
      <c r="P143" s="327"/>
      <c r="Q143" s="1"/>
      <c r="R143" s="327"/>
      <c r="S143" s="1"/>
      <c r="T143" s="327"/>
      <c r="U143" s="1"/>
      <c r="V143" s="327"/>
      <c r="W143" s="1"/>
      <c r="X143" s="327"/>
      <c r="Y143" s="1"/>
      <c r="Z143" s="327"/>
      <c r="AA143" s="1"/>
      <c r="AB143" s="327"/>
      <c r="AC143" s="1"/>
      <c r="AD143" s="327"/>
      <c r="AE143" s="1"/>
      <c r="AF143" s="327"/>
      <c r="AG143" s="1"/>
      <c r="AH143" s="327"/>
      <c r="AI143" s="1"/>
      <c r="AJ143" s="322"/>
      <c r="AK143" s="1"/>
      <c r="AL143" s="327"/>
      <c r="AM143" s="1"/>
      <c r="AN143" s="327"/>
      <c r="AO143" s="1"/>
      <c r="AP143" s="327"/>
      <c r="AQ143" s="1"/>
      <c r="AR143" s="327"/>
    </row>
    <row r="144" spans="2:44" ht="18" customHeight="1" x14ac:dyDescent="0.4">
      <c r="B144" s="565"/>
      <c r="C144" s="570"/>
      <c r="D144" s="21" t="s">
        <v>49</v>
      </c>
      <c r="E144" s="1"/>
      <c r="F144" s="322"/>
      <c r="G144" s="1"/>
      <c r="H144" s="327"/>
      <c r="I144" s="1"/>
      <c r="J144" s="327"/>
      <c r="K144" s="1"/>
      <c r="L144" s="327"/>
      <c r="M144" s="1"/>
      <c r="N144" s="327"/>
      <c r="O144" s="1"/>
      <c r="P144" s="327"/>
      <c r="Q144" s="1"/>
      <c r="R144" s="327"/>
      <c r="S144" s="1"/>
      <c r="T144" s="327"/>
      <c r="U144" s="1"/>
      <c r="V144" s="327"/>
      <c r="W144" s="1"/>
      <c r="X144" s="327"/>
      <c r="Y144" s="1"/>
      <c r="Z144" s="327"/>
      <c r="AA144" s="1"/>
      <c r="AB144" s="327"/>
      <c r="AC144" s="1"/>
      <c r="AD144" s="327"/>
      <c r="AE144" s="1"/>
      <c r="AF144" s="327"/>
      <c r="AG144" s="1"/>
      <c r="AH144" s="327"/>
      <c r="AI144" s="1"/>
      <c r="AJ144" s="322"/>
      <c r="AK144" s="1"/>
      <c r="AL144" s="327"/>
      <c r="AM144" s="1"/>
      <c r="AN144" s="327"/>
      <c r="AO144" s="1"/>
      <c r="AP144" s="327"/>
      <c r="AQ144" s="1"/>
      <c r="AR144" s="327"/>
    </row>
    <row r="145" spans="2:44" ht="18" customHeight="1" x14ac:dyDescent="0.4">
      <c r="B145" s="565"/>
      <c r="C145" s="570"/>
      <c r="D145" s="21" t="s">
        <v>65</v>
      </c>
      <c r="E145" s="1"/>
      <c r="F145" s="322"/>
      <c r="G145" s="1"/>
      <c r="H145" s="327"/>
      <c r="I145" s="1"/>
      <c r="J145" s="327"/>
      <c r="K145" s="1"/>
      <c r="L145" s="327"/>
      <c r="M145" s="1"/>
      <c r="N145" s="327"/>
      <c r="O145" s="1"/>
      <c r="P145" s="327"/>
      <c r="Q145" s="1"/>
      <c r="R145" s="327"/>
      <c r="S145" s="1"/>
      <c r="T145" s="327"/>
      <c r="U145" s="1"/>
      <c r="V145" s="327"/>
      <c r="W145" s="1"/>
      <c r="X145" s="327"/>
      <c r="Y145" s="1"/>
      <c r="Z145" s="327"/>
      <c r="AA145" s="1"/>
      <c r="AB145" s="327"/>
      <c r="AC145" s="1"/>
      <c r="AD145" s="327"/>
      <c r="AE145" s="1"/>
      <c r="AF145" s="327"/>
      <c r="AG145" s="1"/>
      <c r="AH145" s="327"/>
      <c r="AI145" s="1"/>
      <c r="AJ145" s="322"/>
      <c r="AK145" s="1"/>
      <c r="AL145" s="327"/>
      <c r="AM145" s="1"/>
      <c r="AN145" s="327"/>
      <c r="AO145" s="1"/>
      <c r="AP145" s="327"/>
      <c r="AQ145" s="1"/>
      <c r="AR145" s="327"/>
    </row>
    <row r="146" spans="2:44" ht="18" customHeight="1" thickBot="1" x14ac:dyDescent="0.45">
      <c r="B146" s="567"/>
      <c r="C146" s="571"/>
      <c r="D146" s="388" t="s">
        <v>50</v>
      </c>
      <c r="E146" s="389"/>
      <c r="F146" s="390"/>
      <c r="G146" s="389"/>
      <c r="H146" s="391"/>
      <c r="I146" s="389"/>
      <c r="J146" s="391"/>
      <c r="K146" s="389"/>
      <c r="L146" s="391"/>
      <c r="M146" s="389"/>
      <c r="N146" s="391"/>
      <c r="O146" s="389"/>
      <c r="P146" s="391"/>
      <c r="Q146" s="389"/>
      <c r="R146" s="391"/>
      <c r="S146" s="389"/>
      <c r="T146" s="391"/>
      <c r="U146" s="389"/>
      <c r="V146" s="391"/>
      <c r="W146" s="389"/>
      <c r="X146" s="391"/>
      <c r="Y146" s="389"/>
      <c r="Z146" s="391"/>
      <c r="AA146" s="389"/>
      <c r="AB146" s="391"/>
      <c r="AC146" s="389"/>
      <c r="AD146" s="391"/>
      <c r="AE146" s="389"/>
      <c r="AF146" s="391"/>
      <c r="AG146" s="389"/>
      <c r="AH146" s="391"/>
      <c r="AI146" s="389"/>
      <c r="AJ146" s="390"/>
      <c r="AK146" s="389"/>
      <c r="AL146" s="391"/>
      <c r="AM146" s="389"/>
      <c r="AN146" s="391"/>
      <c r="AO146" s="389"/>
      <c r="AP146" s="391"/>
      <c r="AQ146" s="389"/>
      <c r="AR146" s="391"/>
    </row>
    <row r="147" spans="2:44" ht="18" customHeight="1" x14ac:dyDescent="0.4">
      <c r="B147" s="563" t="s">
        <v>289</v>
      </c>
      <c r="C147" s="569"/>
      <c r="D147" s="198" t="s">
        <v>266</v>
      </c>
      <c r="E147" s="392"/>
      <c r="F147" s="393"/>
      <c r="G147" s="392"/>
      <c r="H147" s="394"/>
      <c r="I147" s="392"/>
      <c r="J147" s="394"/>
      <c r="K147" s="392"/>
      <c r="L147" s="394"/>
      <c r="M147" s="392"/>
      <c r="N147" s="394"/>
      <c r="O147" s="392"/>
      <c r="P147" s="394"/>
      <c r="Q147" s="392"/>
      <c r="R147" s="394"/>
      <c r="S147" s="392"/>
      <c r="T147" s="394"/>
      <c r="U147" s="392"/>
      <c r="V147" s="394"/>
      <c r="W147" s="392"/>
      <c r="X147" s="394"/>
      <c r="Y147" s="392"/>
      <c r="Z147" s="394"/>
      <c r="AA147" s="392"/>
      <c r="AB147" s="394"/>
      <c r="AC147" s="392"/>
      <c r="AD147" s="394"/>
      <c r="AE147" s="392"/>
      <c r="AF147" s="394"/>
      <c r="AG147" s="392"/>
      <c r="AH147" s="394"/>
      <c r="AI147" s="392"/>
      <c r="AJ147" s="393"/>
      <c r="AK147" s="392"/>
      <c r="AL147" s="394"/>
      <c r="AM147" s="392"/>
      <c r="AN147" s="394"/>
      <c r="AO147" s="392"/>
      <c r="AP147" s="394"/>
      <c r="AQ147" s="392"/>
      <c r="AR147" s="394"/>
    </row>
    <row r="148" spans="2:44" ht="18" customHeight="1" x14ac:dyDescent="0.4">
      <c r="B148" s="565"/>
      <c r="C148" s="570"/>
      <c r="D148" s="199" t="s">
        <v>268</v>
      </c>
      <c r="E148" s="242"/>
      <c r="F148" s="323"/>
      <c r="G148" s="242"/>
      <c r="H148" s="328"/>
      <c r="I148" s="242"/>
      <c r="J148" s="328"/>
      <c r="K148" s="242"/>
      <c r="L148" s="328"/>
      <c r="M148" s="242"/>
      <c r="N148" s="328"/>
      <c r="O148" s="242"/>
      <c r="P148" s="328"/>
      <c r="Q148" s="242"/>
      <c r="R148" s="328"/>
      <c r="S148" s="242"/>
      <c r="T148" s="328"/>
      <c r="U148" s="242"/>
      <c r="V148" s="328"/>
      <c r="W148" s="242"/>
      <c r="X148" s="328"/>
      <c r="Y148" s="242"/>
      <c r="Z148" s="328"/>
      <c r="AA148" s="242"/>
      <c r="AB148" s="328"/>
      <c r="AC148" s="242"/>
      <c r="AD148" s="328"/>
      <c r="AE148" s="242"/>
      <c r="AF148" s="328"/>
      <c r="AG148" s="242"/>
      <c r="AH148" s="328"/>
      <c r="AI148" s="242"/>
      <c r="AJ148" s="323"/>
      <c r="AK148" s="242"/>
      <c r="AL148" s="328"/>
      <c r="AM148" s="242"/>
      <c r="AN148" s="328"/>
      <c r="AO148" s="242"/>
      <c r="AP148" s="328"/>
      <c r="AQ148" s="242"/>
      <c r="AR148" s="328"/>
    </row>
    <row r="149" spans="2:44" ht="18" customHeight="1" x14ac:dyDescent="0.4">
      <c r="B149" s="565"/>
      <c r="C149" s="570"/>
      <c r="D149" s="199" t="s">
        <v>270</v>
      </c>
      <c r="E149" s="242"/>
      <c r="F149" s="323"/>
      <c r="G149" s="242"/>
      <c r="H149" s="328"/>
      <c r="I149" s="242"/>
      <c r="J149" s="328"/>
      <c r="K149" s="242"/>
      <c r="L149" s="328"/>
      <c r="M149" s="242"/>
      <c r="N149" s="328"/>
      <c r="O149" s="242"/>
      <c r="P149" s="328"/>
      <c r="Q149" s="242"/>
      <c r="R149" s="328"/>
      <c r="S149" s="242"/>
      <c r="T149" s="328"/>
      <c r="U149" s="242"/>
      <c r="V149" s="328"/>
      <c r="W149" s="242"/>
      <c r="X149" s="328"/>
      <c r="Y149" s="242"/>
      <c r="Z149" s="328"/>
      <c r="AA149" s="242"/>
      <c r="AB149" s="328"/>
      <c r="AC149" s="242"/>
      <c r="AD149" s="328"/>
      <c r="AE149" s="242"/>
      <c r="AF149" s="328"/>
      <c r="AG149" s="242"/>
      <c r="AH149" s="328"/>
      <c r="AI149" s="242"/>
      <c r="AJ149" s="323"/>
      <c r="AK149" s="242"/>
      <c r="AL149" s="328"/>
      <c r="AM149" s="242"/>
      <c r="AN149" s="328"/>
      <c r="AO149" s="242"/>
      <c r="AP149" s="328"/>
      <c r="AQ149" s="242"/>
      <c r="AR149" s="328"/>
    </row>
    <row r="150" spans="2:44" ht="18" customHeight="1" x14ac:dyDescent="0.4">
      <c r="B150" s="565"/>
      <c r="C150" s="570"/>
      <c r="D150" s="199" t="s">
        <v>272</v>
      </c>
      <c r="E150" s="242"/>
      <c r="F150" s="323"/>
      <c r="G150" s="242"/>
      <c r="H150" s="328"/>
      <c r="I150" s="242"/>
      <c r="J150" s="328"/>
      <c r="K150" s="242"/>
      <c r="L150" s="328"/>
      <c r="M150" s="242"/>
      <c r="N150" s="328"/>
      <c r="O150" s="242"/>
      <c r="P150" s="328"/>
      <c r="Q150" s="242"/>
      <c r="R150" s="328"/>
      <c r="S150" s="242"/>
      <c r="T150" s="328"/>
      <c r="U150" s="242"/>
      <c r="V150" s="328"/>
      <c r="W150" s="242"/>
      <c r="X150" s="328"/>
      <c r="Y150" s="242"/>
      <c r="Z150" s="328"/>
      <c r="AA150" s="242"/>
      <c r="AB150" s="328"/>
      <c r="AC150" s="242"/>
      <c r="AD150" s="328"/>
      <c r="AE150" s="242"/>
      <c r="AF150" s="328"/>
      <c r="AG150" s="242"/>
      <c r="AH150" s="328"/>
      <c r="AI150" s="242"/>
      <c r="AJ150" s="323"/>
      <c r="AK150" s="242"/>
      <c r="AL150" s="328"/>
      <c r="AM150" s="242"/>
      <c r="AN150" s="328"/>
      <c r="AO150" s="242"/>
      <c r="AP150" s="328"/>
      <c r="AQ150" s="242"/>
      <c r="AR150" s="328"/>
    </row>
    <row r="151" spans="2:44" ht="18" customHeight="1" x14ac:dyDescent="0.4">
      <c r="B151" s="565"/>
      <c r="C151" s="570"/>
      <c r="D151" s="199" t="s">
        <v>274</v>
      </c>
      <c r="E151" s="242"/>
      <c r="F151" s="323"/>
      <c r="G151" s="242"/>
      <c r="H151" s="328"/>
      <c r="I151" s="242"/>
      <c r="J151" s="328"/>
      <c r="K151" s="242"/>
      <c r="L151" s="328"/>
      <c r="M151" s="242"/>
      <c r="N151" s="328"/>
      <c r="O151" s="242"/>
      <c r="P151" s="328"/>
      <c r="Q151" s="242"/>
      <c r="R151" s="328"/>
      <c r="S151" s="242"/>
      <c r="T151" s="328"/>
      <c r="U151" s="242"/>
      <c r="V151" s="328"/>
      <c r="W151" s="242"/>
      <c r="X151" s="328"/>
      <c r="Y151" s="242"/>
      <c r="Z151" s="328"/>
      <c r="AA151" s="242"/>
      <c r="AB151" s="328"/>
      <c r="AC151" s="242"/>
      <c r="AD151" s="328"/>
      <c r="AE151" s="242"/>
      <c r="AF151" s="328"/>
      <c r="AG151" s="242"/>
      <c r="AH151" s="328"/>
      <c r="AI151" s="242"/>
      <c r="AJ151" s="323"/>
      <c r="AK151" s="242"/>
      <c r="AL151" s="328"/>
      <c r="AM151" s="242"/>
      <c r="AN151" s="328"/>
      <c r="AO151" s="242"/>
      <c r="AP151" s="328"/>
      <c r="AQ151" s="242"/>
      <c r="AR151" s="328"/>
    </row>
    <row r="152" spans="2:44" ht="18" customHeight="1" thickBot="1" x14ac:dyDescent="0.45">
      <c r="B152" s="565"/>
      <c r="C152" s="570"/>
      <c r="D152" s="200" t="s">
        <v>276</v>
      </c>
      <c r="E152" s="395"/>
      <c r="F152" s="396"/>
      <c r="G152" s="395"/>
      <c r="H152" s="397"/>
      <c r="I152" s="395"/>
      <c r="J152" s="397"/>
      <c r="K152" s="395"/>
      <c r="L152" s="397"/>
      <c r="M152" s="395"/>
      <c r="N152" s="397"/>
      <c r="O152" s="395"/>
      <c r="P152" s="397"/>
      <c r="Q152" s="395"/>
      <c r="R152" s="397"/>
      <c r="S152" s="395"/>
      <c r="T152" s="397"/>
      <c r="U152" s="395"/>
      <c r="V152" s="397"/>
      <c r="W152" s="395"/>
      <c r="X152" s="397"/>
      <c r="Y152" s="395"/>
      <c r="Z152" s="397"/>
      <c r="AA152" s="395"/>
      <c r="AB152" s="397"/>
      <c r="AC152" s="395"/>
      <c r="AD152" s="397"/>
      <c r="AE152" s="395"/>
      <c r="AF152" s="397"/>
      <c r="AG152" s="395"/>
      <c r="AH152" s="397"/>
      <c r="AI152" s="395"/>
      <c r="AJ152" s="396"/>
      <c r="AK152" s="395"/>
      <c r="AL152" s="397"/>
      <c r="AM152" s="395"/>
      <c r="AN152" s="397"/>
      <c r="AO152" s="395"/>
      <c r="AP152" s="397"/>
      <c r="AQ152" s="395"/>
      <c r="AR152" s="397"/>
    </row>
    <row r="153" spans="2:44" ht="18" customHeight="1" x14ac:dyDescent="0.4">
      <c r="B153" s="563" t="s">
        <v>299</v>
      </c>
      <c r="C153" s="564"/>
      <c r="D153" s="578" t="s">
        <v>346</v>
      </c>
      <c r="E153" s="384"/>
      <c r="F153" s="382"/>
      <c r="G153" s="384"/>
      <c r="H153" s="383"/>
      <c r="I153" s="384"/>
      <c r="J153" s="383"/>
      <c r="K153" s="384"/>
      <c r="L153" s="383"/>
      <c r="M153" s="384"/>
      <c r="N153" s="383"/>
      <c r="O153" s="384"/>
      <c r="P153" s="383"/>
      <c r="Q153" s="384"/>
      <c r="R153" s="383"/>
      <c r="S153" s="384"/>
      <c r="T153" s="383"/>
      <c r="U153" s="384"/>
      <c r="V153" s="383"/>
      <c r="W153" s="384"/>
      <c r="X153" s="383"/>
      <c r="Y153" s="384"/>
      <c r="Z153" s="383"/>
      <c r="AA153" s="384"/>
      <c r="AB153" s="383"/>
      <c r="AC153" s="384"/>
      <c r="AD153" s="383"/>
      <c r="AE153" s="384"/>
      <c r="AF153" s="383"/>
      <c r="AG153" s="384"/>
      <c r="AH153" s="383"/>
      <c r="AI153" s="384"/>
      <c r="AJ153" s="382"/>
      <c r="AK153" s="384"/>
      <c r="AL153" s="383"/>
      <c r="AM153" s="384"/>
      <c r="AN153" s="383"/>
      <c r="AO153" s="384"/>
      <c r="AP153" s="383"/>
      <c r="AQ153" s="384"/>
      <c r="AR153" s="383"/>
    </row>
    <row r="154" spans="2:44" ht="18" customHeight="1" x14ac:dyDescent="0.4">
      <c r="B154" s="565"/>
      <c r="C154" s="566"/>
      <c r="D154" s="579"/>
      <c r="E154" s="243"/>
      <c r="F154" s="324"/>
      <c r="G154" s="243"/>
      <c r="H154" s="329"/>
      <c r="I154" s="243"/>
      <c r="J154" s="329"/>
      <c r="K154" s="243"/>
      <c r="L154" s="329"/>
      <c r="M154" s="243"/>
      <c r="N154" s="329"/>
      <c r="O154" s="243"/>
      <c r="P154" s="329"/>
      <c r="Q154" s="243"/>
      <c r="R154" s="329"/>
      <c r="S154" s="243"/>
      <c r="T154" s="329"/>
      <c r="U154" s="243"/>
      <c r="V154" s="329"/>
      <c r="W154" s="243"/>
      <c r="X154" s="329"/>
      <c r="Y154" s="243"/>
      <c r="Z154" s="329"/>
      <c r="AA154" s="243"/>
      <c r="AB154" s="329"/>
      <c r="AC154" s="243"/>
      <c r="AD154" s="329"/>
      <c r="AE154" s="243"/>
      <c r="AF154" s="329"/>
      <c r="AG154" s="243"/>
      <c r="AH154" s="329"/>
      <c r="AI154" s="243"/>
      <c r="AJ154" s="324"/>
      <c r="AK154" s="243"/>
      <c r="AL154" s="329"/>
      <c r="AM154" s="243"/>
      <c r="AN154" s="329"/>
      <c r="AO154" s="243"/>
      <c r="AP154" s="329"/>
      <c r="AQ154" s="243"/>
      <c r="AR154" s="329"/>
    </row>
    <row r="155" spans="2:44" ht="18" customHeight="1" x14ac:dyDescent="0.4">
      <c r="B155" s="565"/>
      <c r="C155" s="566"/>
      <c r="D155" s="579" t="s">
        <v>347</v>
      </c>
      <c r="E155" s="243"/>
      <c r="F155" s="324"/>
      <c r="G155" s="243"/>
      <c r="H155" s="329"/>
      <c r="I155" s="243"/>
      <c r="J155" s="329"/>
      <c r="K155" s="243"/>
      <c r="L155" s="329"/>
      <c r="M155" s="243"/>
      <c r="N155" s="329"/>
      <c r="O155" s="243"/>
      <c r="P155" s="329"/>
      <c r="Q155" s="243"/>
      <c r="R155" s="329"/>
      <c r="S155" s="243"/>
      <c r="T155" s="329"/>
      <c r="U155" s="243"/>
      <c r="V155" s="329"/>
      <c r="W155" s="243"/>
      <c r="X155" s="329"/>
      <c r="Y155" s="243"/>
      <c r="Z155" s="329"/>
      <c r="AA155" s="243"/>
      <c r="AB155" s="329"/>
      <c r="AC155" s="243"/>
      <c r="AD155" s="329"/>
      <c r="AE155" s="243"/>
      <c r="AF155" s="329"/>
      <c r="AG155" s="243"/>
      <c r="AH155" s="329"/>
      <c r="AI155" s="243"/>
      <c r="AJ155" s="324"/>
      <c r="AK155" s="243"/>
      <c r="AL155" s="329"/>
      <c r="AM155" s="243"/>
      <c r="AN155" s="329"/>
      <c r="AO155" s="243"/>
      <c r="AP155" s="329"/>
      <c r="AQ155" s="243"/>
      <c r="AR155" s="329"/>
    </row>
    <row r="156" spans="2:44" ht="18" customHeight="1" x14ac:dyDescent="0.4">
      <c r="B156" s="565"/>
      <c r="C156" s="566"/>
      <c r="D156" s="579"/>
      <c r="E156" s="243"/>
      <c r="F156" s="324"/>
      <c r="G156" s="243"/>
      <c r="H156" s="329"/>
      <c r="I156" s="243"/>
      <c r="J156" s="329"/>
      <c r="K156" s="243"/>
      <c r="L156" s="329"/>
      <c r="M156" s="243"/>
      <c r="N156" s="329"/>
      <c r="O156" s="243"/>
      <c r="P156" s="329"/>
      <c r="Q156" s="243"/>
      <c r="R156" s="329"/>
      <c r="S156" s="243"/>
      <c r="T156" s="329"/>
      <c r="U156" s="243"/>
      <c r="V156" s="329"/>
      <c r="W156" s="243"/>
      <c r="X156" s="329"/>
      <c r="Y156" s="243"/>
      <c r="Z156" s="329"/>
      <c r="AA156" s="243"/>
      <c r="AB156" s="329"/>
      <c r="AC156" s="243"/>
      <c r="AD156" s="329"/>
      <c r="AE156" s="243"/>
      <c r="AF156" s="329"/>
      <c r="AG156" s="243"/>
      <c r="AH156" s="329"/>
      <c r="AI156" s="243"/>
      <c r="AJ156" s="324"/>
      <c r="AK156" s="243"/>
      <c r="AL156" s="329"/>
      <c r="AM156" s="243"/>
      <c r="AN156" s="329"/>
      <c r="AO156" s="243"/>
      <c r="AP156" s="329"/>
      <c r="AQ156" s="243"/>
      <c r="AR156" s="329"/>
    </row>
    <row r="157" spans="2:44" ht="18" customHeight="1" x14ac:dyDescent="0.4">
      <c r="B157" s="565"/>
      <c r="C157" s="566"/>
      <c r="D157" s="579" t="s">
        <v>348</v>
      </c>
      <c r="E157" s="243"/>
      <c r="F157" s="324"/>
      <c r="G157" s="243"/>
      <c r="H157" s="329"/>
      <c r="I157" s="243"/>
      <c r="J157" s="329"/>
      <c r="K157" s="243"/>
      <c r="L157" s="329"/>
      <c r="M157" s="243"/>
      <c r="N157" s="329"/>
      <c r="O157" s="243"/>
      <c r="P157" s="329"/>
      <c r="Q157" s="243"/>
      <c r="R157" s="329"/>
      <c r="S157" s="243"/>
      <c r="T157" s="329"/>
      <c r="U157" s="243"/>
      <c r="V157" s="329"/>
      <c r="W157" s="243"/>
      <c r="X157" s="329"/>
      <c r="Y157" s="243"/>
      <c r="Z157" s="329"/>
      <c r="AA157" s="243"/>
      <c r="AB157" s="329"/>
      <c r="AC157" s="243"/>
      <c r="AD157" s="329"/>
      <c r="AE157" s="243"/>
      <c r="AF157" s="329"/>
      <c r="AG157" s="243"/>
      <c r="AH157" s="329"/>
      <c r="AI157" s="243"/>
      <c r="AJ157" s="324"/>
      <c r="AK157" s="243"/>
      <c r="AL157" s="329"/>
      <c r="AM157" s="243"/>
      <c r="AN157" s="329"/>
      <c r="AO157" s="243"/>
      <c r="AP157" s="329"/>
      <c r="AQ157" s="243"/>
      <c r="AR157" s="329"/>
    </row>
    <row r="158" spans="2:44" ht="18" customHeight="1" x14ac:dyDescent="0.4">
      <c r="B158" s="565"/>
      <c r="C158" s="566"/>
      <c r="D158" s="579"/>
      <c r="E158" s="243"/>
      <c r="F158" s="324"/>
      <c r="G158" s="243"/>
      <c r="H158" s="329"/>
      <c r="I158" s="243"/>
      <c r="J158" s="329"/>
      <c r="K158" s="243"/>
      <c r="L158" s="329"/>
      <c r="M158" s="243"/>
      <c r="N158" s="329"/>
      <c r="O158" s="243"/>
      <c r="P158" s="329"/>
      <c r="Q158" s="243"/>
      <c r="R158" s="329"/>
      <c r="S158" s="243"/>
      <c r="T158" s="329"/>
      <c r="U158" s="243"/>
      <c r="V158" s="329"/>
      <c r="W158" s="243"/>
      <c r="X158" s="329"/>
      <c r="Y158" s="243"/>
      <c r="Z158" s="329"/>
      <c r="AA158" s="243"/>
      <c r="AB158" s="329"/>
      <c r="AC158" s="243"/>
      <c r="AD158" s="329"/>
      <c r="AE158" s="243"/>
      <c r="AF158" s="329"/>
      <c r="AG158" s="243"/>
      <c r="AH158" s="329"/>
      <c r="AI158" s="243"/>
      <c r="AJ158" s="324"/>
      <c r="AK158" s="243"/>
      <c r="AL158" s="329"/>
      <c r="AM158" s="243"/>
      <c r="AN158" s="329"/>
      <c r="AO158" s="243"/>
      <c r="AP158" s="329"/>
      <c r="AQ158" s="243"/>
      <c r="AR158" s="329"/>
    </row>
    <row r="159" spans="2:44" ht="18" customHeight="1" x14ac:dyDescent="0.4">
      <c r="B159" s="565"/>
      <c r="C159" s="566"/>
      <c r="D159" s="579" t="s">
        <v>349</v>
      </c>
      <c r="E159" s="243"/>
      <c r="F159" s="324"/>
      <c r="G159" s="243"/>
      <c r="H159" s="329"/>
      <c r="I159" s="243"/>
      <c r="J159" s="329"/>
      <c r="K159" s="243"/>
      <c r="L159" s="329"/>
      <c r="M159" s="243"/>
      <c r="N159" s="329"/>
      <c r="O159" s="243"/>
      <c r="P159" s="329"/>
      <c r="Q159" s="243"/>
      <c r="R159" s="329"/>
      <c r="S159" s="243"/>
      <c r="T159" s="329"/>
      <c r="U159" s="243"/>
      <c r="V159" s="329"/>
      <c r="W159" s="243"/>
      <c r="X159" s="329"/>
      <c r="Y159" s="243"/>
      <c r="Z159" s="329"/>
      <c r="AA159" s="243"/>
      <c r="AB159" s="329"/>
      <c r="AC159" s="243"/>
      <c r="AD159" s="329"/>
      <c r="AE159" s="243"/>
      <c r="AF159" s="329"/>
      <c r="AG159" s="243"/>
      <c r="AH159" s="329"/>
      <c r="AI159" s="243"/>
      <c r="AJ159" s="324"/>
      <c r="AK159" s="243"/>
      <c r="AL159" s="329"/>
      <c r="AM159" s="243"/>
      <c r="AN159" s="329"/>
      <c r="AO159" s="243"/>
      <c r="AP159" s="329"/>
      <c r="AQ159" s="243"/>
      <c r="AR159" s="329"/>
    </row>
    <row r="160" spans="2:44" ht="18" customHeight="1" x14ac:dyDescent="0.4">
      <c r="B160" s="565"/>
      <c r="C160" s="566"/>
      <c r="D160" s="579"/>
      <c r="E160" s="243"/>
      <c r="F160" s="324"/>
      <c r="G160" s="243"/>
      <c r="H160" s="329"/>
      <c r="I160" s="243"/>
      <c r="J160" s="329"/>
      <c r="K160" s="243"/>
      <c r="L160" s="329"/>
      <c r="M160" s="243"/>
      <c r="N160" s="329"/>
      <c r="O160" s="243"/>
      <c r="P160" s="329"/>
      <c r="Q160" s="243"/>
      <c r="R160" s="329"/>
      <c r="S160" s="243"/>
      <c r="T160" s="329"/>
      <c r="U160" s="243"/>
      <c r="V160" s="329"/>
      <c r="W160" s="243"/>
      <c r="X160" s="329"/>
      <c r="Y160" s="243"/>
      <c r="Z160" s="329"/>
      <c r="AA160" s="243"/>
      <c r="AB160" s="329"/>
      <c r="AC160" s="243"/>
      <c r="AD160" s="329"/>
      <c r="AE160" s="243"/>
      <c r="AF160" s="329"/>
      <c r="AG160" s="243"/>
      <c r="AH160" s="329"/>
      <c r="AI160" s="243"/>
      <c r="AJ160" s="324"/>
      <c r="AK160" s="243"/>
      <c r="AL160" s="329"/>
      <c r="AM160" s="243"/>
      <c r="AN160" s="329"/>
      <c r="AO160" s="243"/>
      <c r="AP160" s="329"/>
      <c r="AQ160" s="243"/>
      <c r="AR160" s="329"/>
    </row>
    <row r="161" spans="2:44" ht="18" customHeight="1" thickBot="1" x14ac:dyDescent="0.45">
      <c r="B161" s="565"/>
      <c r="C161" s="566"/>
      <c r="D161" s="579" t="s">
        <v>350</v>
      </c>
      <c r="E161" s="243"/>
      <c r="F161" s="324"/>
      <c r="G161" s="243"/>
      <c r="H161" s="329"/>
      <c r="I161" s="243"/>
      <c r="J161" s="329"/>
      <c r="K161" s="243"/>
      <c r="L161" s="329"/>
      <c r="M161" s="243"/>
      <c r="N161" s="381"/>
      <c r="O161" s="243"/>
      <c r="P161" s="329"/>
      <c r="Q161" s="243"/>
      <c r="R161" s="329"/>
      <c r="S161" s="243"/>
      <c r="T161" s="329"/>
      <c r="U161" s="243"/>
      <c r="V161" s="329"/>
      <c r="W161" s="243"/>
      <c r="X161" s="329"/>
      <c r="Y161" s="243"/>
      <c r="Z161" s="329"/>
      <c r="AA161" s="243"/>
      <c r="AB161" s="329"/>
      <c r="AC161" s="243"/>
      <c r="AD161" s="329"/>
      <c r="AE161" s="243"/>
      <c r="AF161" s="329"/>
      <c r="AG161" s="243"/>
      <c r="AH161" s="329"/>
      <c r="AI161" s="243"/>
      <c r="AJ161" s="324"/>
      <c r="AK161" s="243"/>
      <c r="AL161" s="329"/>
      <c r="AM161" s="243"/>
      <c r="AN161" s="329"/>
      <c r="AO161" s="243"/>
      <c r="AP161" s="329"/>
      <c r="AQ161" s="243"/>
      <c r="AR161" s="329"/>
    </row>
    <row r="162" spans="2:44" ht="18" customHeight="1" thickBot="1" x14ac:dyDescent="0.45">
      <c r="B162" s="565"/>
      <c r="C162" s="566"/>
      <c r="D162" s="579"/>
      <c r="E162" s="243"/>
      <c r="F162" s="324"/>
      <c r="G162" s="243"/>
      <c r="H162" s="329"/>
      <c r="I162" s="243"/>
      <c r="J162" s="329"/>
      <c r="K162" s="243"/>
      <c r="L162" s="329"/>
      <c r="M162" s="385"/>
      <c r="N162" s="387"/>
      <c r="O162" s="335"/>
      <c r="P162" s="329"/>
      <c r="Q162" s="243"/>
      <c r="R162" s="329"/>
      <c r="S162" s="243"/>
      <c r="T162" s="329"/>
      <c r="U162" s="243"/>
      <c r="V162" s="329"/>
      <c r="W162" s="243"/>
      <c r="X162" s="329"/>
      <c r="Y162" s="243"/>
      <c r="Z162" s="329"/>
      <c r="AA162" s="243"/>
      <c r="AB162" s="329"/>
      <c r="AC162" s="243"/>
      <c r="AD162" s="329"/>
      <c r="AE162" s="243"/>
      <c r="AF162" s="329"/>
      <c r="AG162" s="243"/>
      <c r="AH162" s="329"/>
      <c r="AI162" s="243"/>
      <c r="AJ162" s="324"/>
      <c r="AK162" s="243"/>
      <c r="AL162" s="329"/>
      <c r="AM162" s="243"/>
      <c r="AN162" s="329"/>
      <c r="AO162" s="243"/>
      <c r="AP162" s="329"/>
      <c r="AQ162" s="243"/>
      <c r="AR162" s="329"/>
    </row>
    <row r="163" spans="2:44" ht="18" customHeight="1" x14ac:dyDescent="0.4">
      <c r="B163" s="565"/>
      <c r="C163" s="566"/>
      <c r="D163" s="579" t="s">
        <v>351</v>
      </c>
      <c r="E163" s="243"/>
      <c r="F163" s="324"/>
      <c r="G163" s="243"/>
      <c r="H163" s="329"/>
      <c r="I163" s="243"/>
      <c r="J163" s="329"/>
      <c r="K163" s="243"/>
      <c r="L163" s="329"/>
      <c r="M163" s="243"/>
      <c r="N163" s="386"/>
      <c r="O163" s="243"/>
      <c r="P163" s="329"/>
      <c r="Q163" s="243"/>
      <c r="R163" s="329"/>
      <c r="S163" s="243"/>
      <c r="T163" s="329"/>
      <c r="U163" s="243"/>
      <c r="V163" s="329"/>
      <c r="W163" s="243"/>
      <c r="X163" s="329"/>
      <c r="Y163" s="243"/>
      <c r="Z163" s="329"/>
      <c r="AA163" s="243"/>
      <c r="AB163" s="329"/>
      <c r="AC163" s="243"/>
      <c r="AD163" s="329"/>
      <c r="AE163" s="243"/>
      <c r="AF163" s="329"/>
      <c r="AG163" s="243"/>
      <c r="AH163" s="329"/>
      <c r="AI163" s="243"/>
      <c r="AJ163" s="324"/>
      <c r="AK163" s="243"/>
      <c r="AL163" s="329"/>
      <c r="AM163" s="243"/>
      <c r="AN163" s="329"/>
      <c r="AO163" s="243"/>
      <c r="AP163" s="329"/>
      <c r="AQ163" s="243"/>
      <c r="AR163" s="329"/>
    </row>
    <row r="164" spans="2:44" ht="18" customHeight="1" x14ac:dyDescent="0.4">
      <c r="B164" s="565"/>
      <c r="C164" s="566"/>
      <c r="D164" s="579"/>
      <c r="E164" s="243"/>
      <c r="F164" s="324"/>
      <c r="G164" s="243"/>
      <c r="H164" s="329"/>
      <c r="I164" s="243"/>
      <c r="J164" s="329"/>
      <c r="K164" s="243"/>
      <c r="L164" s="329"/>
      <c r="M164" s="243"/>
      <c r="N164" s="329"/>
      <c r="O164" s="243"/>
      <c r="P164" s="329"/>
      <c r="Q164" s="243"/>
      <c r="R164" s="329"/>
      <c r="S164" s="243"/>
      <c r="T164" s="329"/>
      <c r="U164" s="243"/>
      <c r="V164" s="329"/>
      <c r="W164" s="243"/>
      <c r="X164" s="329"/>
      <c r="Y164" s="243"/>
      <c r="Z164" s="329"/>
      <c r="AA164" s="243"/>
      <c r="AB164" s="329"/>
      <c r="AC164" s="243"/>
      <c r="AD164" s="329"/>
      <c r="AE164" s="243"/>
      <c r="AF164" s="329"/>
      <c r="AG164" s="243"/>
      <c r="AH164" s="329"/>
      <c r="AI164" s="243"/>
      <c r="AJ164" s="324"/>
      <c r="AK164" s="243"/>
      <c r="AL164" s="329"/>
      <c r="AM164" s="243"/>
      <c r="AN164" s="329"/>
      <c r="AO164" s="243"/>
      <c r="AP164" s="329"/>
      <c r="AQ164" s="243"/>
      <c r="AR164" s="329"/>
    </row>
    <row r="165" spans="2:44" ht="18" customHeight="1" x14ac:dyDescent="0.4">
      <c r="B165" s="565"/>
      <c r="C165" s="566"/>
      <c r="D165" s="579" t="s">
        <v>352</v>
      </c>
      <c r="E165" s="243"/>
      <c r="F165" s="324"/>
      <c r="G165" s="243"/>
      <c r="H165" s="329"/>
      <c r="I165" s="243"/>
      <c r="J165" s="329"/>
      <c r="K165" s="243"/>
      <c r="L165" s="329"/>
      <c r="M165" s="243"/>
      <c r="N165" s="329"/>
      <c r="O165" s="243"/>
      <c r="P165" s="329"/>
      <c r="Q165" s="243"/>
      <c r="R165" s="329"/>
      <c r="S165" s="243"/>
      <c r="T165" s="329"/>
      <c r="U165" s="243"/>
      <c r="V165" s="329"/>
      <c r="W165" s="243"/>
      <c r="X165" s="329"/>
      <c r="Y165" s="243"/>
      <c r="Z165" s="329"/>
      <c r="AA165" s="243"/>
      <c r="AB165" s="329"/>
      <c r="AC165" s="243"/>
      <c r="AD165" s="329"/>
      <c r="AE165" s="243"/>
      <c r="AF165" s="329"/>
      <c r="AG165" s="243"/>
      <c r="AH165" s="329"/>
      <c r="AI165" s="243"/>
      <c r="AJ165" s="324"/>
      <c r="AK165" s="243"/>
      <c r="AL165" s="329"/>
      <c r="AM165" s="243"/>
      <c r="AN165" s="329"/>
      <c r="AO165" s="243"/>
      <c r="AP165" s="329"/>
      <c r="AQ165" s="243"/>
      <c r="AR165" s="329"/>
    </row>
    <row r="166" spans="2:44" ht="18" customHeight="1" x14ac:dyDescent="0.4">
      <c r="B166" s="565"/>
      <c r="C166" s="566"/>
      <c r="D166" s="579"/>
      <c r="E166" s="243"/>
      <c r="F166" s="324"/>
      <c r="G166" s="243"/>
      <c r="H166" s="329"/>
      <c r="I166" s="243"/>
      <c r="J166" s="329"/>
      <c r="K166" s="243"/>
      <c r="L166" s="329"/>
      <c r="M166" s="243"/>
      <c r="N166" s="329"/>
      <c r="O166" s="243"/>
      <c r="P166" s="329"/>
      <c r="Q166" s="243"/>
      <c r="R166" s="329"/>
      <c r="S166" s="243"/>
      <c r="T166" s="329"/>
      <c r="U166" s="243"/>
      <c r="V166" s="329"/>
      <c r="W166" s="243"/>
      <c r="X166" s="329"/>
      <c r="Y166" s="243"/>
      <c r="Z166" s="329"/>
      <c r="AA166" s="243"/>
      <c r="AB166" s="329"/>
      <c r="AC166" s="243"/>
      <c r="AD166" s="329"/>
      <c r="AE166" s="243"/>
      <c r="AF166" s="329"/>
      <c r="AG166" s="243"/>
      <c r="AH166" s="329"/>
      <c r="AI166" s="243"/>
      <c r="AJ166" s="324"/>
      <c r="AK166" s="243"/>
      <c r="AL166" s="329"/>
      <c r="AM166" s="243"/>
      <c r="AN166" s="329"/>
      <c r="AO166" s="243"/>
      <c r="AP166" s="329"/>
      <c r="AQ166" s="243"/>
      <c r="AR166" s="329"/>
    </row>
    <row r="167" spans="2:44" ht="18" customHeight="1" x14ac:dyDescent="0.4">
      <c r="B167" s="565"/>
      <c r="C167" s="566"/>
      <c r="D167" s="579" t="s">
        <v>353</v>
      </c>
      <c r="E167" s="243"/>
      <c r="F167" s="324"/>
      <c r="G167" s="243"/>
      <c r="H167" s="329"/>
      <c r="I167" s="243"/>
      <c r="J167" s="329"/>
      <c r="K167" s="243"/>
      <c r="L167" s="329"/>
      <c r="M167" s="243"/>
      <c r="N167" s="329"/>
      <c r="O167" s="243"/>
      <c r="P167" s="329"/>
      <c r="Q167" s="243"/>
      <c r="R167" s="329"/>
      <c r="S167" s="243"/>
      <c r="T167" s="329"/>
      <c r="U167" s="243"/>
      <c r="V167" s="329"/>
      <c r="W167" s="243"/>
      <c r="X167" s="329"/>
      <c r="Y167" s="243"/>
      <c r="Z167" s="329"/>
      <c r="AA167" s="243"/>
      <c r="AB167" s="329"/>
      <c r="AC167" s="243"/>
      <c r="AD167" s="329"/>
      <c r="AE167" s="243"/>
      <c r="AF167" s="329"/>
      <c r="AG167" s="243"/>
      <c r="AH167" s="329"/>
      <c r="AI167" s="243"/>
      <c r="AJ167" s="324"/>
      <c r="AK167" s="243"/>
      <c r="AL167" s="329"/>
      <c r="AM167" s="243"/>
      <c r="AN167" s="329"/>
      <c r="AO167" s="243"/>
      <c r="AP167" s="329"/>
      <c r="AQ167" s="243"/>
      <c r="AR167" s="329"/>
    </row>
    <row r="168" spans="2:44" ht="18" customHeight="1" x14ac:dyDescent="0.4">
      <c r="B168" s="565"/>
      <c r="C168" s="566"/>
      <c r="D168" s="579"/>
      <c r="E168" s="243"/>
      <c r="F168" s="324"/>
      <c r="G168" s="243"/>
      <c r="H168" s="329"/>
      <c r="I168" s="243"/>
      <c r="J168" s="329"/>
      <c r="K168" s="243"/>
      <c r="L168" s="329"/>
      <c r="M168" s="243"/>
      <c r="N168" s="329"/>
      <c r="O168" s="243"/>
      <c r="P168" s="329"/>
      <c r="Q168" s="243"/>
      <c r="R168" s="329"/>
      <c r="S168" s="243"/>
      <c r="T168" s="329"/>
      <c r="U168" s="243"/>
      <c r="V168" s="329"/>
      <c r="W168" s="243"/>
      <c r="X168" s="329"/>
      <c r="Y168" s="243"/>
      <c r="Z168" s="329"/>
      <c r="AA168" s="243"/>
      <c r="AB168" s="329"/>
      <c r="AC168" s="243"/>
      <c r="AD168" s="329"/>
      <c r="AE168" s="243"/>
      <c r="AF168" s="329"/>
      <c r="AG168" s="243"/>
      <c r="AH168" s="329"/>
      <c r="AI168" s="243"/>
      <c r="AJ168" s="324"/>
      <c r="AK168" s="243"/>
      <c r="AL168" s="329"/>
      <c r="AM168" s="243"/>
      <c r="AN168" s="329"/>
      <c r="AO168" s="243"/>
      <c r="AP168" s="329"/>
      <c r="AQ168" s="243"/>
      <c r="AR168" s="329"/>
    </row>
    <row r="169" spans="2:44" ht="18" customHeight="1" x14ac:dyDescent="0.4">
      <c r="B169" s="565"/>
      <c r="C169" s="566"/>
      <c r="D169" s="580" t="s">
        <v>354</v>
      </c>
      <c r="E169" s="243"/>
      <c r="F169" s="324"/>
      <c r="G169" s="243"/>
      <c r="H169" s="329"/>
      <c r="I169" s="243"/>
      <c r="J169" s="329"/>
      <c r="K169" s="243"/>
      <c r="L169" s="329"/>
      <c r="M169" s="243"/>
      <c r="N169" s="329"/>
      <c r="O169" s="243"/>
      <c r="P169" s="329"/>
      <c r="Q169" s="243"/>
      <c r="R169" s="329"/>
      <c r="S169" s="243"/>
      <c r="T169" s="329"/>
      <c r="U169" s="243"/>
      <c r="V169" s="329"/>
      <c r="W169" s="243"/>
      <c r="X169" s="329"/>
      <c r="Y169" s="243"/>
      <c r="Z169" s="329"/>
      <c r="AA169" s="243"/>
      <c r="AB169" s="329"/>
      <c r="AC169" s="243"/>
      <c r="AD169" s="329"/>
      <c r="AE169" s="243"/>
      <c r="AF169" s="329"/>
      <c r="AG169" s="243"/>
      <c r="AH169" s="329"/>
      <c r="AI169" s="243"/>
      <c r="AJ169" s="324"/>
      <c r="AK169" s="243"/>
      <c r="AL169" s="329"/>
      <c r="AM169" s="243"/>
      <c r="AN169" s="329"/>
      <c r="AO169" s="243"/>
      <c r="AP169" s="329"/>
      <c r="AQ169" s="243"/>
      <c r="AR169" s="329"/>
    </row>
    <row r="170" spans="2:44" ht="18" customHeight="1" x14ac:dyDescent="0.4">
      <c r="B170" s="565"/>
      <c r="C170" s="566"/>
      <c r="D170" s="581"/>
      <c r="E170" s="243"/>
      <c r="F170" s="324"/>
      <c r="G170" s="243"/>
      <c r="H170" s="329"/>
      <c r="I170" s="243"/>
      <c r="J170" s="329"/>
      <c r="K170" s="243"/>
      <c r="L170" s="329"/>
      <c r="M170" s="243"/>
      <c r="N170" s="329"/>
      <c r="O170" s="243"/>
      <c r="P170" s="329"/>
      <c r="Q170" s="243"/>
      <c r="R170" s="329"/>
      <c r="S170" s="243"/>
      <c r="T170" s="329"/>
      <c r="U170" s="243"/>
      <c r="V170" s="329"/>
      <c r="W170" s="243"/>
      <c r="X170" s="329"/>
      <c r="Y170" s="243"/>
      <c r="Z170" s="329"/>
      <c r="AA170" s="243"/>
      <c r="AB170" s="329"/>
      <c r="AC170" s="243"/>
      <c r="AD170" s="329"/>
      <c r="AE170" s="243"/>
      <c r="AF170" s="329"/>
      <c r="AG170" s="243"/>
      <c r="AH170" s="329"/>
      <c r="AI170" s="243"/>
      <c r="AJ170" s="324"/>
      <c r="AK170" s="243"/>
      <c r="AL170" s="329"/>
      <c r="AM170" s="243"/>
      <c r="AN170" s="329"/>
      <c r="AO170" s="243"/>
      <c r="AP170" s="329"/>
      <c r="AQ170" s="243"/>
      <c r="AR170" s="329"/>
    </row>
    <row r="171" spans="2:44" ht="18" customHeight="1" x14ac:dyDescent="0.4">
      <c r="B171" s="565"/>
      <c r="C171" s="566"/>
      <c r="D171" s="580" t="s">
        <v>355</v>
      </c>
      <c r="E171" s="243"/>
      <c r="F171" s="324"/>
      <c r="G171" s="243"/>
      <c r="H171" s="329"/>
      <c r="I171" s="243"/>
      <c r="J171" s="329"/>
      <c r="K171" s="243"/>
      <c r="L171" s="329"/>
      <c r="M171" s="243"/>
      <c r="N171" s="329"/>
      <c r="O171" s="243"/>
      <c r="P171" s="329"/>
      <c r="Q171" s="243"/>
      <c r="R171" s="329"/>
      <c r="S171" s="243"/>
      <c r="T171" s="329"/>
      <c r="U171" s="243"/>
      <c r="V171" s="329"/>
      <c r="W171" s="243"/>
      <c r="X171" s="329"/>
      <c r="Y171" s="243"/>
      <c r="Z171" s="329"/>
      <c r="AA171" s="243"/>
      <c r="AB171" s="329"/>
      <c r="AC171" s="243"/>
      <c r="AD171" s="329"/>
      <c r="AE171" s="243"/>
      <c r="AF171" s="329"/>
      <c r="AG171" s="243"/>
      <c r="AH171" s="329"/>
      <c r="AI171" s="243"/>
      <c r="AJ171" s="324"/>
      <c r="AK171" s="243"/>
      <c r="AL171" s="329"/>
      <c r="AM171" s="243"/>
      <c r="AN171" s="329"/>
      <c r="AO171" s="243"/>
      <c r="AP171" s="329"/>
      <c r="AQ171" s="243"/>
      <c r="AR171" s="329"/>
    </row>
    <row r="172" spans="2:44" ht="18" customHeight="1" thickBot="1" x14ac:dyDescent="0.45">
      <c r="B172" s="567"/>
      <c r="C172" s="568"/>
      <c r="D172" s="582"/>
      <c r="E172" s="244"/>
      <c r="F172" s="325"/>
      <c r="G172" s="244"/>
      <c r="H172" s="330"/>
      <c r="I172" s="244"/>
      <c r="J172" s="330"/>
      <c r="K172" s="244"/>
      <c r="L172" s="330"/>
      <c r="M172" s="244"/>
      <c r="N172" s="330"/>
      <c r="O172" s="244"/>
      <c r="P172" s="330"/>
      <c r="Q172" s="244"/>
      <c r="R172" s="330"/>
      <c r="S172" s="244"/>
      <c r="T172" s="330"/>
      <c r="U172" s="244"/>
      <c r="V172" s="330"/>
      <c r="W172" s="244"/>
      <c r="X172" s="330"/>
      <c r="Y172" s="244"/>
      <c r="Z172" s="330"/>
      <c r="AA172" s="244"/>
      <c r="AB172" s="330"/>
      <c r="AC172" s="244"/>
      <c r="AD172" s="330"/>
      <c r="AE172" s="244"/>
      <c r="AF172" s="330"/>
      <c r="AG172" s="244"/>
      <c r="AH172" s="330"/>
      <c r="AI172" s="244"/>
      <c r="AJ172" s="325"/>
      <c r="AK172" s="244"/>
      <c r="AL172" s="330"/>
      <c r="AM172" s="244"/>
      <c r="AN172" s="330"/>
      <c r="AO172" s="244"/>
      <c r="AP172" s="330"/>
      <c r="AQ172" s="244"/>
      <c r="AR172" s="330"/>
    </row>
  </sheetData>
  <sheetProtection algorithmName="SHA-512" hashValue="nc8//qQIvQEZi8H2Zxe16om0wH3/tzwbmCcgiHp+dgOQJwcfEr2okpCID8e8oyA1H3PwbHG/1HBl8JxbJUgOEg==" saltValue="UfBtXshlJoLa19wKcXk1vQ==" spinCount="100000" sheet="1" objects="1" scenarios="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AR50">
      <formula1>0</formula1>
    </dataValidation>
    <dataValidation type="whole" errorStyle="warning" operator="greaterThanOrEqual" allowBlank="1" showInputMessage="1" showErrorMessage="1" errorTitle="اطلاعات" error="لطفا در ورود اطلاعات دقت فرمایید" sqref="E72:AR77">
      <formula1>0</formula1>
    </dataValidation>
    <dataValidation type="whole" errorStyle="warning" operator="greaterThanOrEqual" allowBlank="1" showInputMessage="1" showErrorMessage="1" errorTitle="اطلاعات" error="لطفا در وارد کردن مبالغ و اعداد دقت فرمایید." sqref="E63:AR63 E66:AR70">
      <formula1>0</formula1>
    </dataValidation>
    <dataValidation type="whole" errorStyle="warning" operator="greaterThanOrEqual" allowBlank="1" showInputMessage="1" showErrorMessage="1" errorTitle="اطلاعات" error="لطفا در انتخاب مبلغ دقت فرمایید." sqref="E51:AR52 E59:AR59 E54:AR56">
      <formula1>0</formula1>
    </dataValidation>
    <dataValidation type="list" allowBlank="1" showInputMessage="1" showErrorMessage="1" sqref="E125:AR125">
      <formula1>"کانون,تاک,خودگروه"</formula1>
    </dataValidation>
    <dataValidation type="list" allowBlank="1" showInputMessage="1" showErrorMessage="1" sqref="E133:AR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AR120 E102:AR107 E89:AR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AR113 E98:AR100 E85:AR87">
      <formula1>0</formula1>
    </dataValidation>
    <dataValidation type="whole" errorStyle="warning" operator="greaterThanOrEqual" allowBlank="1" showInputMessage="1" showErrorMessage="1" errorTitle="اطلاعات" error="لطفا در ورود اطلاعات دقت فرمایید." sqref="E81:AR81">
      <formula1>0</formula1>
    </dataValidation>
    <dataValidation type="list" allowBlank="1" showInputMessage="1" showErrorMessage="1" sqref="E8:AR8">
      <formula1>"فعال,غیرفعال,منحل شده"</formula1>
    </dataValidation>
    <dataValidation type="list" allowBlank="1" showInputMessage="1" showErrorMessage="1" sqref="E35:AR38">
      <formula1>"قوی,متوسط,ضعیف"</formula1>
    </dataValidation>
    <dataValidation type="list" allowBlank="1" showInputMessage="1" showErrorMessage="1" sqref="E39:AR39 E45:AR45">
      <formula1>"دارد,ندارد"</formula1>
    </dataValidation>
    <dataValidation type="list" allowBlank="1" showInputMessage="1" showErrorMessage="1" sqref="E40:AR40">
      <formula1>"ندارد,گروه یار,خزانه دار,منشی"</formula1>
    </dataValidation>
    <dataValidation type="list" allowBlank="1" showInputMessage="1" showErrorMessage="1" sqref="E41:AR41">
      <formula1>"بلی,خیر,تشکیل نشده"</formula1>
    </dataValidation>
    <dataValidation type="list" allowBlank="1" showInputMessage="1" showErrorMessage="1" sqref="E42:AR42">
      <formula1>"ماهانه,15 روز یکبار, کمتر از 15 روز"</formula1>
    </dataValidation>
    <dataValidation type="list" allowBlank="1" showInputMessage="1" showErrorMessage="1" sqref="E44:AR44">
      <formula1>"مرتب,نامرتب"</formula1>
    </dataValidation>
    <dataValidation type="list" allowBlank="1" showInputMessage="1" showErrorMessage="1" sqref="E47:AR47">
      <formula1>"انجام شده,انجام نشده"</formula1>
    </dataValidation>
    <dataValidation type="list" allowBlank="1" showInputMessage="1" showErrorMessage="1" sqref="E46:AR46">
      <formula1>"1,2,3,4,5,6,7,8,9,10,11,12,13,14,15,16,17,18,19,20,21,22,23,24,25,26,27,28,29,30,31"</formula1>
    </dataValidation>
    <dataValidation type="list" allowBlank="1" showInputMessage="1" showErrorMessage="1" sqref="E48:AR48">
      <formula1>"بی نقض,دارای اشتباه کم,اشتباه زیاد"</formula1>
    </dataValidation>
    <dataValidation type="list" allowBlank="1" showInputMessage="1" showErrorMessage="1" sqref="E49:AR49">
      <formula1>"هفتگی,ده هفته یکبار,ماهانه"</formula1>
    </dataValidation>
    <dataValidation type="list" allowBlank="1" showInputMessage="1" showErrorMessage="1" sqref="E18:AR18">
      <formula1>"الف1,الف2,الف3,الف4,الف5,الف6,الف7,ب1,ب2,ب3,ب4,ب5,ب6,ب7,پ1,پ2,پ3,پ4,پ5,پ6,پ7,پ8,پ9,پ10,پ11,پ12,پ13,پ14,ت1,ت2,ت3,ت4,ت5,ت6,ت7,ت8,ت9,ت10,ت11"</formula1>
    </dataValidation>
    <dataValidation type="list" allowBlank="1" showInputMessage="1" showErrorMessage="1" sqref="E147:AR147">
      <formula1>"ب7,پرداخت شد,کسر شد,منحل شده"</formula1>
    </dataValidation>
    <dataValidation type="list" allowBlank="1" showInputMessage="1" showErrorMessage="1" sqref="E148:AR148">
      <formula1>"پ9,پرداخت شد,کسر شد,منحل شده"</formula1>
    </dataValidation>
    <dataValidation type="list" allowBlank="1" showInputMessage="1" showErrorMessage="1" sqref="E149:AR149">
      <formula1>"ت1,پرداخت شد,کسر شد,منحل شده"</formula1>
    </dataValidation>
    <dataValidation type="list" allowBlank="1" showInputMessage="1" showErrorMessage="1" sqref="E150:AR150">
      <formula1>"ت7,پرداخت شد,کسر شد,منحل شده"</formula1>
    </dataValidation>
    <dataValidation type="list" allowBlank="1" showInputMessage="1" showErrorMessage="1" sqref="E151:AR151">
      <formula1>"ت9,پرداخت شد,کسر شد,منحل شده"</formula1>
    </dataValidation>
    <dataValidation type="list" allowBlank="1" showInputMessage="1" showErrorMessage="1" sqref="E152:AR152">
      <formula1>"ت11,پرداخت شد,کسر شد,منحل شده"</formula1>
    </dataValidation>
    <dataValidation type="list" allowBlank="1" showInputMessage="1" showErrorMessage="1" sqref="E154:AR154 E156:AR156 E158:AR158 E160:AR160 E162:AR162 E164:AR164 E166:AR166 E168:AR168 E170:AR170 E172:AR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43"/>
  <sheetViews>
    <sheetView rightToLeft="1" zoomScale="89" zoomScaleNormal="89" workbookViewId="0">
      <selection activeCell="K34" sqref="K34"/>
    </sheetView>
  </sheetViews>
  <sheetFormatPr defaultColWidth="9.140625" defaultRowHeight="18" x14ac:dyDescent="0.25"/>
  <cols>
    <col min="1" max="1" width="1.28515625" style="59" customWidth="1"/>
    <col min="2" max="2" width="6.7109375" style="59" customWidth="1"/>
    <col min="3" max="3" width="9.140625" style="59"/>
    <col min="4" max="4" width="10.42578125" style="59" customWidth="1"/>
    <col min="5" max="5" width="9.140625" style="59"/>
    <col min="6" max="6" width="12.5703125" style="59" customWidth="1"/>
    <col min="7" max="7" width="14" style="59" customWidth="1"/>
    <col min="8" max="8" width="13" style="59" customWidth="1"/>
    <col min="9" max="9" width="12.5703125" style="59" customWidth="1"/>
    <col min="10" max="10" width="11.7109375" style="59" customWidth="1"/>
    <col min="11" max="11" width="9.5703125" style="59" customWidth="1"/>
    <col min="12" max="12" width="8.140625" style="59" customWidth="1"/>
    <col min="13" max="13" width="16.5703125" style="59" customWidth="1"/>
    <col min="14" max="14" width="16.140625" style="59" customWidth="1"/>
    <col min="15" max="15" width="15.85546875" style="59" customWidth="1"/>
    <col min="16" max="18" width="9.140625" style="59"/>
    <col min="19" max="19" width="8.5703125" style="59" customWidth="1"/>
    <col min="20" max="20" width="13.28515625" style="59" customWidth="1"/>
    <col min="21" max="21" width="8.7109375" style="59" customWidth="1"/>
    <col min="22" max="22" width="12" style="59" customWidth="1"/>
    <col min="23" max="26" width="8.42578125" style="59" customWidth="1"/>
    <col min="27" max="27" width="12" style="59" customWidth="1"/>
    <col min="28" max="36" width="10" style="59" customWidth="1"/>
    <col min="37" max="37" width="9.42578125" style="59" customWidth="1"/>
    <col min="38" max="16384" width="9.140625" style="59"/>
  </cols>
  <sheetData>
    <row r="2" spans="2:38" ht="18.75" thickBot="1" x14ac:dyDescent="0.3">
      <c r="B2" s="60"/>
      <c r="U2" s="126"/>
      <c r="V2" s="126"/>
      <c r="W2" s="126"/>
      <c r="X2" s="126"/>
      <c r="Y2" s="126"/>
      <c r="Z2" s="126"/>
      <c r="AA2" s="126"/>
      <c r="AB2" s="126"/>
      <c r="AC2" s="126"/>
      <c r="AD2" s="126"/>
      <c r="AE2" s="126"/>
      <c r="AF2" s="126"/>
      <c r="AG2" s="126"/>
      <c r="AH2" s="126"/>
      <c r="AI2" s="126"/>
      <c r="AJ2" s="126"/>
      <c r="AK2" s="126"/>
      <c r="AL2" s="126"/>
    </row>
    <row r="3" spans="2:38" s="125" customFormat="1" ht="63" customHeight="1" thickBot="1" x14ac:dyDescent="0.3">
      <c r="B3" s="361" t="s">
        <v>71</v>
      </c>
      <c r="C3" s="362" t="s">
        <v>59</v>
      </c>
      <c r="D3" s="362" t="s">
        <v>60</v>
      </c>
      <c r="E3" s="362" t="s">
        <v>33</v>
      </c>
      <c r="F3" s="362" t="s">
        <v>9</v>
      </c>
      <c r="G3" s="362" t="s">
        <v>52</v>
      </c>
      <c r="H3" s="362" t="s">
        <v>10</v>
      </c>
      <c r="I3" s="362" t="s">
        <v>72</v>
      </c>
      <c r="J3" s="362" t="s">
        <v>51</v>
      </c>
      <c r="K3" s="362" t="s">
        <v>21</v>
      </c>
      <c r="L3" s="362" t="s">
        <v>73</v>
      </c>
      <c r="M3" s="362" t="s">
        <v>74</v>
      </c>
      <c r="N3" s="362" t="s">
        <v>75</v>
      </c>
      <c r="O3" s="363" t="str">
        <f>payesh!D16</f>
        <v>عمر گروه از تاریخ تشکیل (افتتاح حساب پس انداز در بانک) به ماه</v>
      </c>
      <c r="P3" s="362" t="s">
        <v>53</v>
      </c>
      <c r="Q3" s="362" t="s">
        <v>54</v>
      </c>
      <c r="R3" s="362" t="s">
        <v>55</v>
      </c>
      <c r="S3" s="362" t="s">
        <v>303</v>
      </c>
      <c r="T3" s="362" t="s">
        <v>76</v>
      </c>
      <c r="U3" s="362" t="s">
        <v>304</v>
      </c>
      <c r="V3" s="362" t="s">
        <v>77</v>
      </c>
      <c r="W3" s="362" t="s">
        <v>78</v>
      </c>
      <c r="X3" s="362" t="s">
        <v>174</v>
      </c>
      <c r="Y3" s="362" t="s">
        <v>79</v>
      </c>
      <c r="Z3" s="362" t="s">
        <v>80</v>
      </c>
      <c r="AA3" s="362" t="s">
        <v>81</v>
      </c>
      <c r="AB3" s="362" t="s">
        <v>82</v>
      </c>
      <c r="AC3" s="362" t="s">
        <v>83</v>
      </c>
      <c r="AD3" s="362" t="s">
        <v>84</v>
      </c>
      <c r="AE3" s="362" t="s">
        <v>85</v>
      </c>
      <c r="AF3" s="362" t="s">
        <v>86</v>
      </c>
      <c r="AG3" s="362" t="s">
        <v>87</v>
      </c>
      <c r="AH3" s="362" t="s">
        <v>88</v>
      </c>
      <c r="AI3" s="362" t="s">
        <v>300</v>
      </c>
      <c r="AJ3" s="362" t="s">
        <v>301</v>
      </c>
      <c r="AK3" s="364" t="s">
        <v>302</v>
      </c>
    </row>
    <row r="4" spans="2:38" ht="18.75" thickBot="1" x14ac:dyDescent="0.3">
      <c r="B4" s="355">
        <f>payesh!E7</f>
        <v>1</v>
      </c>
      <c r="C4" s="343" t="str">
        <f>payesh!E3</f>
        <v>ایلام</v>
      </c>
      <c r="D4" s="343" t="str">
        <f>payesh!E4</f>
        <v>ابدانان</v>
      </c>
      <c r="E4" s="343" t="str">
        <f>payesh!E5</f>
        <v>سرابباغ</v>
      </c>
      <c r="F4" s="343" t="str">
        <f>payesh!E6</f>
        <v>پوپک</v>
      </c>
      <c r="G4" s="343" t="str">
        <f>payesh!E10</f>
        <v>کلینیک حضرت زینب</v>
      </c>
      <c r="H4" s="343" t="str">
        <f>payesh!E13</f>
        <v>معصومه سبزواری</v>
      </c>
      <c r="I4" s="344">
        <f>payesh!E14</f>
        <v>9185518763</v>
      </c>
      <c r="J4" s="343" t="str">
        <f>payesh!E9</f>
        <v xml:space="preserve"> ترابی</v>
      </c>
      <c r="K4" s="343" t="str">
        <f>payesh!E18</f>
        <v>ت9</v>
      </c>
      <c r="L4" s="343" t="str">
        <f>payesh!E8</f>
        <v>فعال</v>
      </c>
      <c r="M4" s="343" t="str">
        <f>payesh!E46</f>
        <v>26 هرماه</v>
      </c>
      <c r="N4" s="344">
        <f>payesh!E17</f>
        <v>706451419</v>
      </c>
      <c r="O4" s="344">
        <f>payesh!E16</f>
        <v>35</v>
      </c>
      <c r="P4" s="343" t="str">
        <f>payesh!E19</f>
        <v>زهره سبزواری</v>
      </c>
      <c r="Q4" s="343" t="str">
        <f>payesh!E20</f>
        <v>مهناز عبدی تبار</v>
      </c>
      <c r="R4" s="343" t="str">
        <f>payesh!E21</f>
        <v>معصومه سروالی</v>
      </c>
      <c r="S4" s="343">
        <f>payesh!$E$55</f>
        <v>1500000</v>
      </c>
      <c r="T4" s="365" t="str">
        <f>payesh!E64</f>
        <v>93/4/29</v>
      </c>
      <c r="U4" s="343">
        <f>payesh!$E$56</f>
        <v>1500000</v>
      </c>
      <c r="V4" s="365" t="str">
        <f>payesh!E65</f>
        <v>93/10/24</v>
      </c>
      <c r="W4" s="343" t="str">
        <f>payesh!E78</f>
        <v>93/7/25</v>
      </c>
      <c r="X4" s="343">
        <f>payesh!E79</f>
        <v>76</v>
      </c>
      <c r="Y4" s="343" t="str">
        <f>payesh!$E$83</f>
        <v>93/8/19</v>
      </c>
      <c r="Z4" s="343">
        <f>payesh!$E$84</f>
        <v>0</v>
      </c>
      <c r="AA4" s="343">
        <f>payesh!E86</f>
        <v>180000000</v>
      </c>
      <c r="AB4" s="343">
        <f>payesh!E153</f>
        <v>0</v>
      </c>
      <c r="AC4" s="343">
        <f>payesh!E155</f>
        <v>0</v>
      </c>
      <c r="AD4" s="343">
        <f>payesh!E157</f>
        <v>0</v>
      </c>
      <c r="AE4" s="343">
        <f>payesh!E159</f>
        <v>0</v>
      </c>
      <c r="AF4" s="343">
        <f>payesh!E161</f>
        <v>0</v>
      </c>
      <c r="AG4" s="343">
        <f>payesh!E163</f>
        <v>0</v>
      </c>
      <c r="AH4" s="343">
        <f>payesh!E165</f>
        <v>0</v>
      </c>
      <c r="AI4" s="343">
        <f>payesh!E167</f>
        <v>0</v>
      </c>
      <c r="AJ4" s="343">
        <f>payesh!E169</f>
        <v>0</v>
      </c>
      <c r="AK4" s="346">
        <f>payesh!E171</f>
        <v>0</v>
      </c>
    </row>
    <row r="5" spans="2:38" ht="18.75" thickBot="1" x14ac:dyDescent="0.3">
      <c r="B5" s="348">
        <f>payesh!F7</f>
        <v>2</v>
      </c>
      <c r="C5" s="351" t="str">
        <f>payesh!F3</f>
        <v>ایلام</v>
      </c>
      <c r="D5" s="351" t="str">
        <f>payesh!F4</f>
        <v>ابدانان</v>
      </c>
      <c r="E5" s="351" t="str">
        <f>payesh!F5</f>
        <v>سرابباغ</v>
      </c>
      <c r="F5" s="351" t="str">
        <f>payesh!F6</f>
        <v>شیرین بانو</v>
      </c>
      <c r="G5" s="351" t="str">
        <f>payesh!F10</f>
        <v>کلینیک حضرت زینب</v>
      </c>
      <c r="H5" s="351" t="str">
        <f>payesh!F13</f>
        <v>معصومه سبزواری</v>
      </c>
      <c r="I5" s="352">
        <f>payesh!F14</f>
        <v>9185518763</v>
      </c>
      <c r="J5" s="351" t="str">
        <f>payesh!F9</f>
        <v xml:space="preserve"> ترابی</v>
      </c>
      <c r="K5" s="351" t="str">
        <f>payesh!F18</f>
        <v>ت9</v>
      </c>
      <c r="L5" s="351" t="str">
        <f>payesh!F8</f>
        <v>فعال</v>
      </c>
      <c r="M5" s="351" t="str">
        <f>payesh!F46</f>
        <v>9ام هرماه</v>
      </c>
      <c r="N5" s="352">
        <f>payesh!F17</f>
        <v>706545568</v>
      </c>
      <c r="O5" s="352">
        <f>payesh!F16</f>
        <v>34</v>
      </c>
      <c r="P5" s="351" t="str">
        <f>payesh!F19</f>
        <v>زینب چابک</v>
      </c>
      <c r="Q5" s="351" t="str">
        <f>payesh!F20</f>
        <v>فرزانه سیاحی</v>
      </c>
      <c r="R5" s="351" t="str">
        <f>payesh!F21</f>
        <v>فاطمه عمانی</v>
      </c>
      <c r="S5" s="351">
        <f>payesh!$F$55</f>
        <v>1500000</v>
      </c>
      <c r="T5" s="366" t="str">
        <f>payesh!F64</f>
        <v>93/4/29</v>
      </c>
      <c r="U5" s="351">
        <f>payesh!$F$56</f>
        <v>1500000</v>
      </c>
      <c r="V5" s="366" t="str">
        <f>payesh!F65</f>
        <v>93/10/24</v>
      </c>
      <c r="W5" s="351" t="str">
        <f>payesh!F78</f>
        <v>93/7/30</v>
      </c>
      <c r="X5" s="351">
        <f>payesh!F79</f>
        <v>69</v>
      </c>
      <c r="Y5" s="351" t="str">
        <f>payesh!$F$83</f>
        <v>93/8/19</v>
      </c>
      <c r="Z5" s="351">
        <f>payesh!$F$84</f>
        <v>0</v>
      </c>
      <c r="AA5" s="351">
        <f>payesh!F86</f>
        <v>185000000</v>
      </c>
      <c r="AB5" s="351">
        <f>payesh!F153</f>
        <v>0</v>
      </c>
      <c r="AC5" s="351">
        <f>payesh!F155</f>
        <v>0</v>
      </c>
      <c r="AD5" s="351">
        <f>payesh!F157</f>
        <v>0</v>
      </c>
      <c r="AE5" s="351">
        <f>payesh!F159</f>
        <v>0</v>
      </c>
      <c r="AF5" s="351">
        <f>payesh!F161</f>
        <v>0</v>
      </c>
      <c r="AG5" s="351">
        <f>payesh!F163</f>
        <v>0</v>
      </c>
      <c r="AH5" s="351">
        <f>payesh!F165</f>
        <v>0</v>
      </c>
      <c r="AI5" s="351">
        <f>payesh!F167</f>
        <v>0</v>
      </c>
      <c r="AJ5" s="351">
        <f>payesh!F169</f>
        <v>0</v>
      </c>
      <c r="AK5" s="354">
        <f>payesh!F171</f>
        <v>0</v>
      </c>
    </row>
    <row r="6" spans="2:38" ht="18.75" thickBot="1" x14ac:dyDescent="0.3">
      <c r="B6" s="355">
        <f>payesh!G7</f>
        <v>3</v>
      </c>
      <c r="C6" s="343" t="str">
        <f>payesh!G3</f>
        <v>ایلام</v>
      </c>
      <c r="D6" s="343" t="str">
        <f>payesh!G4</f>
        <v>ابدانان</v>
      </c>
      <c r="E6" s="343" t="str">
        <f>payesh!G5</f>
        <v>سرابباغ</v>
      </c>
      <c r="F6" s="343" t="str">
        <f>payesh!G6</f>
        <v>نرگس</v>
      </c>
      <c r="G6" s="343" t="str">
        <f>payesh!G10</f>
        <v>کلینیک حضرت زینب</v>
      </c>
      <c r="H6" s="343" t="str">
        <f>payesh!G13</f>
        <v>معصومه سبزواری</v>
      </c>
      <c r="I6" s="344">
        <f>payesh!G14</f>
        <v>9185518763</v>
      </c>
      <c r="J6" s="343" t="str">
        <f>payesh!G9</f>
        <v xml:space="preserve"> ترابی</v>
      </c>
      <c r="K6" s="343" t="str">
        <f>payesh!G18</f>
        <v>ت9</v>
      </c>
      <c r="L6" s="343" t="str">
        <f>payesh!G8</f>
        <v>فعال</v>
      </c>
      <c r="M6" s="343" t="str">
        <f>payesh!G46</f>
        <v>30 هر ماه</v>
      </c>
      <c r="N6" s="344">
        <f>payesh!G17</f>
        <v>706452071</v>
      </c>
      <c r="O6" s="344">
        <f>payesh!G16</f>
        <v>34</v>
      </c>
      <c r="P6" s="343" t="str">
        <f>payesh!G19</f>
        <v>احترام میرعلیخانی</v>
      </c>
      <c r="Q6" s="343" t="str">
        <f>payesh!G20</f>
        <v>فرزانه رییسی</v>
      </c>
      <c r="R6" s="343" t="str">
        <f>payesh!G21</f>
        <v>زینت رحیمی</v>
      </c>
      <c r="S6" s="343">
        <f>payesh!$G$55</f>
        <v>1500000</v>
      </c>
      <c r="T6" s="365" t="str">
        <f>payesh!G64</f>
        <v>93/4/29</v>
      </c>
      <c r="U6" s="343">
        <f>payesh!$G$56</f>
        <v>1500000</v>
      </c>
      <c r="V6" s="365" t="str">
        <f>payesh!G65</f>
        <v>93/10/24</v>
      </c>
      <c r="W6" s="343" t="str">
        <f>payesh!G78</f>
        <v>93/7/25</v>
      </c>
      <c r="X6" s="343">
        <f>payesh!G79</f>
        <v>81</v>
      </c>
      <c r="Y6" s="343" t="str">
        <f>payesh!$G$83</f>
        <v>93/8/19</v>
      </c>
      <c r="Z6" s="343">
        <f>payesh!$G$84</f>
        <v>0</v>
      </c>
      <c r="AA6" s="343">
        <f>payesh!G86</f>
        <v>190000000</v>
      </c>
      <c r="AB6" s="343">
        <f>payesh!G153</f>
        <v>0</v>
      </c>
      <c r="AC6" s="343">
        <f>payesh!G155</f>
        <v>0</v>
      </c>
      <c r="AD6" s="343">
        <f>payesh!G157</f>
        <v>0</v>
      </c>
      <c r="AE6" s="343">
        <f>payesh!G159</f>
        <v>0</v>
      </c>
      <c r="AF6" s="343">
        <f>payesh!G161</f>
        <v>0</v>
      </c>
      <c r="AG6" s="343">
        <f>payesh!G163</f>
        <v>0</v>
      </c>
      <c r="AH6" s="343">
        <f>payesh!G165</f>
        <v>0</v>
      </c>
      <c r="AI6" s="343">
        <f>payesh!G167</f>
        <v>0</v>
      </c>
      <c r="AJ6" s="343">
        <f>payesh!G169</f>
        <v>0</v>
      </c>
      <c r="AK6" s="346">
        <f>payesh!G171</f>
        <v>0</v>
      </c>
    </row>
    <row r="7" spans="2:38" ht="18.75" thickBot="1" x14ac:dyDescent="0.3">
      <c r="B7" s="348">
        <f>payesh!H7</f>
        <v>4</v>
      </c>
      <c r="C7" s="351" t="str">
        <f>payesh!H3</f>
        <v>ایلام</v>
      </c>
      <c r="D7" s="351" t="str">
        <f>payesh!H4</f>
        <v>ابدانان</v>
      </c>
      <c r="E7" s="351" t="str">
        <f>payesh!H5</f>
        <v>ژیور</v>
      </c>
      <c r="F7" s="351" t="str">
        <f>payesh!H6</f>
        <v>ارکیده</v>
      </c>
      <c r="G7" s="351" t="str">
        <f>payesh!H10</f>
        <v>کلینیک حضرت زینب</v>
      </c>
      <c r="H7" s="351" t="str">
        <f>payesh!H13</f>
        <v>فرزانه نوروزی</v>
      </c>
      <c r="I7" s="352">
        <f>payesh!H14</f>
        <v>9184635991</v>
      </c>
      <c r="J7" s="351" t="str">
        <f>payesh!H9</f>
        <v xml:space="preserve"> ترابی</v>
      </c>
      <c r="K7" s="351" t="str">
        <f>payesh!H18</f>
        <v>ت9</v>
      </c>
      <c r="L7" s="351" t="str">
        <f>payesh!H8</f>
        <v>فعال</v>
      </c>
      <c r="M7" s="351" t="str">
        <f>payesh!H46</f>
        <v>29هرماه</v>
      </c>
      <c r="N7" s="352">
        <f>payesh!H17</f>
        <v>706961156</v>
      </c>
      <c r="O7" s="352">
        <f>payesh!H16</f>
        <v>32</v>
      </c>
      <c r="P7" s="351" t="str">
        <f>payesh!H19</f>
        <v>زهرا نوروزی</v>
      </c>
      <c r="Q7" s="351" t="str">
        <f>payesh!H20</f>
        <v>فاطمه نیک ÷ور</v>
      </c>
      <c r="R7" s="351" t="str">
        <f>payesh!H21</f>
        <v>فریده کریمی</v>
      </c>
      <c r="S7" s="351">
        <f>payesh!$H$55</f>
        <v>1500000</v>
      </c>
      <c r="T7" s="366" t="str">
        <f>payesh!H64</f>
        <v>93/4/29</v>
      </c>
      <c r="U7" s="351">
        <f>payesh!$H$56</f>
        <v>1500000</v>
      </c>
      <c r="V7" s="366" t="str">
        <f>payesh!H65</f>
        <v>93/10/24</v>
      </c>
      <c r="W7" s="351" t="str">
        <f>payesh!H78</f>
        <v>93/8/1</v>
      </c>
      <c r="X7" s="351">
        <f>payesh!H79</f>
        <v>82</v>
      </c>
      <c r="Y7" s="351" t="str">
        <f>payesh!$H$83</f>
        <v>93/8/19</v>
      </c>
      <c r="Z7" s="351">
        <f>payesh!$H$84</f>
        <v>0</v>
      </c>
      <c r="AA7" s="351">
        <f>payesh!H86</f>
        <v>180000000</v>
      </c>
      <c r="AB7" s="351">
        <f>payesh!H153</f>
        <v>0</v>
      </c>
      <c r="AC7" s="351">
        <f>payesh!H155</f>
        <v>0</v>
      </c>
      <c r="AD7" s="351">
        <f>payesh!H157</f>
        <v>0</v>
      </c>
      <c r="AE7" s="351">
        <f>payesh!H159</f>
        <v>0</v>
      </c>
      <c r="AF7" s="351">
        <f>payesh!H161</f>
        <v>0</v>
      </c>
      <c r="AG7" s="351">
        <f>payesh!H163</f>
        <v>0</v>
      </c>
      <c r="AH7" s="351">
        <f>payesh!H165</f>
        <v>0</v>
      </c>
      <c r="AI7" s="351">
        <f>payesh!H167</f>
        <v>0</v>
      </c>
      <c r="AJ7" s="351">
        <f>payesh!H169</f>
        <v>0</v>
      </c>
      <c r="AK7" s="354">
        <f>payesh!H171</f>
        <v>0</v>
      </c>
    </row>
    <row r="8" spans="2:38" ht="18.75" thickBot="1" x14ac:dyDescent="0.3">
      <c r="B8" s="355">
        <f>payesh!I7</f>
        <v>5</v>
      </c>
      <c r="C8" s="343" t="str">
        <f>payesh!I3</f>
        <v>ایلام</v>
      </c>
      <c r="D8" s="343" t="str">
        <f>payesh!I4</f>
        <v>ابدانان</v>
      </c>
      <c r="E8" s="343" t="str">
        <f>payesh!I5</f>
        <v>چم کبود</v>
      </c>
      <c r="F8" s="343" t="str">
        <f>payesh!I6</f>
        <v>هانا</v>
      </c>
      <c r="G8" s="343" t="str">
        <f>payesh!I10</f>
        <v>کلینیک حضرت زینب</v>
      </c>
      <c r="H8" s="343" t="str">
        <f>payesh!I13</f>
        <v>فرزانه نوروزی</v>
      </c>
      <c r="I8" s="344">
        <f>payesh!I14</f>
        <v>9184635991</v>
      </c>
      <c r="J8" s="343" t="str">
        <f>payesh!I9</f>
        <v xml:space="preserve"> ترابی</v>
      </c>
      <c r="K8" s="343" t="str">
        <f>payesh!I18</f>
        <v>ت6</v>
      </c>
      <c r="L8" s="343" t="str">
        <f>payesh!I8</f>
        <v>فعال</v>
      </c>
      <c r="M8" s="343" t="str">
        <f>payesh!I46</f>
        <v>28هرماه</v>
      </c>
      <c r="N8" s="344">
        <f>payesh!I17</f>
        <v>774047709</v>
      </c>
      <c r="O8" s="344">
        <f>payesh!I16</f>
        <v>7</v>
      </c>
      <c r="P8" s="343" t="str">
        <f>payesh!I19</f>
        <v>فریبا غلامی</v>
      </c>
      <c r="Q8" s="343" t="str">
        <f>payesh!I20</f>
        <v>سکینه خانمحمدی</v>
      </c>
      <c r="R8" s="343" t="str">
        <f>payesh!I21</f>
        <v>زینب غلامی</v>
      </c>
      <c r="S8" s="343">
        <f>payesh!$I$55</f>
        <v>1500000</v>
      </c>
      <c r="T8" s="365" t="str">
        <f>payesh!I64</f>
        <v>95/4/1</v>
      </c>
      <c r="U8" s="343">
        <f>payesh!$I$56</f>
        <v>0</v>
      </c>
      <c r="V8" s="365">
        <f>payesh!I65</f>
        <v>0</v>
      </c>
      <c r="W8" s="343" t="str">
        <f>payesh!I78</f>
        <v>95/2/2</v>
      </c>
      <c r="X8" s="343">
        <f>payesh!I79</f>
        <v>79</v>
      </c>
      <c r="Y8" s="343">
        <f>payesh!$I$83</f>
        <v>0</v>
      </c>
      <c r="Z8" s="343">
        <f>payesh!$I$84</f>
        <v>0</v>
      </c>
      <c r="AA8" s="343">
        <f>payesh!I86</f>
        <v>210000000</v>
      </c>
      <c r="AB8" s="343">
        <f>payesh!I153</f>
        <v>0</v>
      </c>
      <c r="AC8" s="343">
        <f>payesh!I155</f>
        <v>0</v>
      </c>
      <c r="AD8" s="343">
        <f>payesh!I157</f>
        <v>0</v>
      </c>
      <c r="AE8" s="343">
        <f>payesh!I159</f>
        <v>0</v>
      </c>
      <c r="AF8" s="343">
        <f>payesh!I161</f>
        <v>0</v>
      </c>
      <c r="AG8" s="343">
        <f>payesh!I163</f>
        <v>0</v>
      </c>
      <c r="AH8" s="343">
        <f>payesh!I165</f>
        <v>0</v>
      </c>
      <c r="AI8" s="343">
        <f>payesh!I167</f>
        <v>0</v>
      </c>
      <c r="AJ8" s="343">
        <f>payesh!I169</f>
        <v>0</v>
      </c>
      <c r="AK8" s="346">
        <f>payesh!I171</f>
        <v>0</v>
      </c>
    </row>
    <row r="9" spans="2:38" ht="18.75" thickBot="1" x14ac:dyDescent="0.3">
      <c r="B9" s="348">
        <f>payesh!J7</f>
        <v>6</v>
      </c>
      <c r="C9" s="351" t="str">
        <f>payesh!J3</f>
        <v>ایلام</v>
      </c>
      <c r="D9" s="351" t="str">
        <f>payesh!J4</f>
        <v>ابدانان</v>
      </c>
      <c r="E9" s="351" t="str">
        <f>payesh!J5</f>
        <v>بانکت</v>
      </c>
      <c r="F9" s="351" t="str">
        <f>payesh!J6</f>
        <v>شاپرک</v>
      </c>
      <c r="G9" s="351" t="str">
        <f>payesh!J10</f>
        <v>کلینیک حضرت زینب</v>
      </c>
      <c r="H9" s="351" t="str">
        <f>payesh!J13</f>
        <v>معصومه سبزواری</v>
      </c>
      <c r="I9" s="352">
        <f>payesh!J14</f>
        <v>9185518763</v>
      </c>
      <c r="J9" s="351" t="str">
        <f>payesh!J9</f>
        <v xml:space="preserve"> ترابی</v>
      </c>
      <c r="K9" s="351" t="str">
        <f>payesh!J18</f>
        <v>ت1</v>
      </c>
      <c r="L9" s="351" t="str">
        <f>payesh!J8</f>
        <v>فعال</v>
      </c>
      <c r="M9" s="351" t="str">
        <f>payesh!J46</f>
        <v>28 هرماه</v>
      </c>
      <c r="N9" s="352">
        <f>payesh!J17</f>
        <v>783152521</v>
      </c>
      <c r="O9" s="352">
        <f>payesh!J16</f>
        <v>8</v>
      </c>
      <c r="P9" s="351" t="str">
        <f>payesh!J19</f>
        <v>شهلا رحمی</v>
      </c>
      <c r="Q9" s="351" t="str">
        <f>payesh!J20</f>
        <v>لیلا مرادی</v>
      </c>
      <c r="R9" s="351" t="str">
        <f>payesh!J21</f>
        <v>زلیخا مرادی</v>
      </c>
      <c r="S9" s="351">
        <f>payesh!$J$55</f>
        <v>1500000</v>
      </c>
      <c r="T9" s="366" t="str">
        <f>payesh!J64</f>
        <v>95/3/31</v>
      </c>
      <c r="U9" s="351">
        <f>payesh!$J$56</f>
        <v>0</v>
      </c>
      <c r="V9" s="366">
        <f>payesh!J65</f>
        <v>0</v>
      </c>
      <c r="W9" s="351" t="str">
        <f>payesh!J78</f>
        <v>95/6/22</v>
      </c>
      <c r="X9" s="351">
        <f>payesh!J79</f>
        <v>80</v>
      </c>
      <c r="Y9" s="351">
        <f>payesh!$J$83</f>
        <v>0</v>
      </c>
      <c r="Z9" s="351">
        <f>payesh!$J$84</f>
        <v>0</v>
      </c>
      <c r="AA9" s="351">
        <f>payesh!J86</f>
        <v>0</v>
      </c>
      <c r="AB9" s="351">
        <f>payesh!J153</f>
        <v>0</v>
      </c>
      <c r="AC9" s="351">
        <f>payesh!J155</f>
        <v>0</v>
      </c>
      <c r="AD9" s="351">
        <f>payesh!J157</f>
        <v>0</v>
      </c>
      <c r="AE9" s="351">
        <f>payesh!J159</f>
        <v>0</v>
      </c>
      <c r="AF9" s="351">
        <f>payesh!J161</f>
        <v>0</v>
      </c>
      <c r="AG9" s="351">
        <f>payesh!J163</f>
        <v>0</v>
      </c>
      <c r="AH9" s="351">
        <f>payesh!J165</f>
        <v>0</v>
      </c>
      <c r="AI9" s="351">
        <f>payesh!J167</f>
        <v>0</v>
      </c>
      <c r="AJ9" s="351">
        <f>payesh!J169</f>
        <v>0</v>
      </c>
      <c r="AK9" s="354">
        <f>payesh!J171</f>
        <v>0</v>
      </c>
    </row>
    <row r="10" spans="2:38" ht="18.75" thickBot="1" x14ac:dyDescent="0.3">
      <c r="B10" s="355">
        <f>payesh!K7</f>
        <v>7</v>
      </c>
      <c r="C10" s="343" t="str">
        <f>payesh!K3</f>
        <v xml:space="preserve">ایلام </v>
      </c>
      <c r="D10" s="343" t="str">
        <f>payesh!K4</f>
        <v>ابدانان</v>
      </c>
      <c r="E10" s="343" t="str">
        <f>payesh!K5</f>
        <v>هفت چشمه</v>
      </c>
      <c r="F10" s="343" t="str">
        <f>payesh!K6</f>
        <v>بهار</v>
      </c>
      <c r="G10" s="343" t="str">
        <f>payesh!K10</f>
        <v>کلینیک حضرت زینب</v>
      </c>
      <c r="H10" s="343" t="str">
        <f>payesh!K13</f>
        <v>معصومه سبزواری</v>
      </c>
      <c r="I10" s="344">
        <f>payesh!K14</f>
        <v>9185518763</v>
      </c>
      <c r="J10" s="343" t="str">
        <f>payesh!K9</f>
        <v xml:space="preserve"> ترابی</v>
      </c>
      <c r="K10" s="343" t="str">
        <f>payesh!K18</f>
        <v>ت7</v>
      </c>
      <c r="L10" s="343" t="str">
        <f>payesh!K8</f>
        <v>فعال</v>
      </c>
      <c r="M10" s="343" t="str">
        <f>payesh!K46</f>
        <v>27هرماه</v>
      </c>
      <c r="N10" s="344">
        <f>payesh!K17</f>
        <v>711598615</v>
      </c>
      <c r="O10" s="344">
        <f>payesh!K16</f>
        <v>27</v>
      </c>
      <c r="P10" s="343" t="str">
        <f>payesh!K19</f>
        <v>فریبا خلفی</v>
      </c>
      <c r="Q10" s="343" t="str">
        <f>payesh!K20</f>
        <v>شاهی طلا یاری</v>
      </c>
      <c r="R10" s="343" t="str">
        <f>payesh!K21</f>
        <v>ستاره خلفیان</v>
      </c>
      <c r="S10" s="343">
        <f>payesh!$K$55</f>
        <v>1500000</v>
      </c>
      <c r="T10" s="365" t="str">
        <f>payesh!K64</f>
        <v>93/9/3</v>
      </c>
      <c r="U10" s="343">
        <f>payesh!$K$56</f>
        <v>1500000</v>
      </c>
      <c r="V10" s="365" t="str">
        <f>payesh!K65</f>
        <v>94/6/21</v>
      </c>
      <c r="W10" s="343" t="str">
        <f>payesh!K78</f>
        <v>93/10/27</v>
      </c>
      <c r="X10" s="343">
        <f>payesh!K79</f>
        <v>79</v>
      </c>
      <c r="Y10" s="343" t="str">
        <f>payesh!$K$83</f>
        <v>94/2/29</v>
      </c>
      <c r="Z10" s="343">
        <f>payesh!$K$84</f>
        <v>0</v>
      </c>
      <c r="AA10" s="343">
        <f>payesh!K86</f>
        <v>200000000</v>
      </c>
      <c r="AB10" s="343">
        <f>payesh!K153</f>
        <v>0</v>
      </c>
      <c r="AC10" s="343">
        <f>payesh!K155</f>
        <v>0</v>
      </c>
      <c r="AD10" s="343">
        <f>payesh!K157</f>
        <v>0</v>
      </c>
      <c r="AE10" s="343">
        <f>payesh!K159</f>
        <v>0</v>
      </c>
      <c r="AF10" s="343">
        <f>payesh!K161</f>
        <v>0</v>
      </c>
      <c r="AG10" s="343">
        <f>payesh!K163</f>
        <v>0</v>
      </c>
      <c r="AH10" s="343">
        <f>payesh!K165</f>
        <v>0</v>
      </c>
      <c r="AI10" s="343">
        <f>payesh!K167</f>
        <v>0</v>
      </c>
      <c r="AJ10" s="343">
        <f>payesh!K169</f>
        <v>0</v>
      </c>
      <c r="AK10" s="346">
        <f>payesh!K171</f>
        <v>0</v>
      </c>
    </row>
    <row r="11" spans="2:38" ht="18.75" thickBot="1" x14ac:dyDescent="0.3">
      <c r="B11" s="348">
        <f>payesh!L7</f>
        <v>8</v>
      </c>
      <c r="C11" s="351" t="str">
        <f>payesh!L3</f>
        <v xml:space="preserve">ایلام </v>
      </c>
      <c r="D11" s="351" t="str">
        <f>payesh!L4</f>
        <v>ابدانان</v>
      </c>
      <c r="E11" s="351" t="str">
        <f>payesh!L5</f>
        <v>چم کبود</v>
      </c>
      <c r="F11" s="351" t="str">
        <f>payesh!L6</f>
        <v>شفق</v>
      </c>
      <c r="G11" s="351" t="str">
        <f>payesh!L10</f>
        <v>کلینیک حضرت زینب</v>
      </c>
      <c r="H11" s="351" t="str">
        <f>payesh!L13</f>
        <v>فرزانه نوروزی</v>
      </c>
      <c r="I11" s="352">
        <f>payesh!L14</f>
        <v>9184635991</v>
      </c>
      <c r="J11" s="351" t="str">
        <f>payesh!L9</f>
        <v xml:space="preserve"> ترابی</v>
      </c>
      <c r="K11" s="351" t="str">
        <f>payesh!L18</f>
        <v>ت7</v>
      </c>
      <c r="L11" s="351" t="str">
        <f>payesh!L8</f>
        <v>فعال</v>
      </c>
      <c r="M11" s="351">
        <f>payesh!L46</f>
        <v>27</v>
      </c>
      <c r="N11" s="352">
        <f>payesh!L17</f>
        <v>710325353</v>
      </c>
      <c r="O11" s="352">
        <f>payesh!L16</f>
        <v>25</v>
      </c>
      <c r="P11" s="351" t="str">
        <f>payesh!L19</f>
        <v>کبری عزیزی</v>
      </c>
      <c r="Q11" s="351" t="str">
        <f>payesh!L20</f>
        <v>فهیمه غلامی</v>
      </c>
      <c r="R11" s="351" t="str">
        <f>payesh!L21</f>
        <v xml:space="preserve">فاطمه عزیزی </v>
      </c>
      <c r="S11" s="351">
        <f>payesh!$L$55</f>
        <v>1500000</v>
      </c>
      <c r="T11" s="366" t="str">
        <f>payesh!L64</f>
        <v>93/9/3</v>
      </c>
      <c r="U11" s="351">
        <f>payesh!$L$56</f>
        <v>1500000</v>
      </c>
      <c r="V11" s="366" t="str">
        <f>payesh!L65</f>
        <v>95/4/17</v>
      </c>
      <c r="W11" s="351" t="str">
        <f>payesh!L78</f>
        <v>93/10/27</v>
      </c>
      <c r="X11" s="351">
        <f>payesh!L79</f>
        <v>81</v>
      </c>
      <c r="Y11" s="351" t="str">
        <f>payesh!$L$83</f>
        <v>94/2/29</v>
      </c>
      <c r="Z11" s="351">
        <f>payesh!$L$84</f>
        <v>0</v>
      </c>
      <c r="AA11" s="351">
        <f>payesh!L86</f>
        <v>190000000</v>
      </c>
      <c r="AB11" s="351">
        <f>payesh!L153</f>
        <v>0</v>
      </c>
      <c r="AC11" s="351">
        <f>payesh!L155</f>
        <v>0</v>
      </c>
      <c r="AD11" s="351">
        <f>payesh!L157</f>
        <v>0</v>
      </c>
      <c r="AE11" s="351">
        <f>payesh!L159</f>
        <v>0</v>
      </c>
      <c r="AF11" s="351">
        <f>payesh!L161</f>
        <v>0</v>
      </c>
      <c r="AG11" s="351">
        <f>payesh!L163</f>
        <v>0</v>
      </c>
      <c r="AH11" s="351">
        <f>payesh!L165</f>
        <v>0</v>
      </c>
      <c r="AI11" s="351">
        <f>payesh!L167</f>
        <v>0</v>
      </c>
      <c r="AJ11" s="351">
        <f>payesh!L169</f>
        <v>0</v>
      </c>
      <c r="AK11" s="354">
        <f>payesh!L171</f>
        <v>0</v>
      </c>
    </row>
    <row r="12" spans="2:38" ht="18.75" thickBot="1" x14ac:dyDescent="0.3">
      <c r="B12" s="355">
        <f>payesh!M7</f>
        <v>9</v>
      </c>
      <c r="C12" s="343" t="str">
        <f>payesh!M3</f>
        <v>ایلام</v>
      </c>
      <c r="D12" s="343" t="str">
        <f>payesh!M4</f>
        <v>ابدانان</v>
      </c>
      <c r="E12" s="343" t="str">
        <f>payesh!M5</f>
        <v>بانکت</v>
      </c>
      <c r="F12" s="343" t="str">
        <f>payesh!M6</f>
        <v>گلبرگ</v>
      </c>
      <c r="G12" s="343" t="str">
        <f>payesh!M10</f>
        <v>کلینیک حضرت زینب</v>
      </c>
      <c r="H12" s="343" t="str">
        <f>payesh!M13</f>
        <v>معصومه سبزواری</v>
      </c>
      <c r="I12" s="344">
        <f>payesh!M14</f>
        <v>9185518763</v>
      </c>
      <c r="J12" s="343" t="str">
        <f>payesh!M9</f>
        <v xml:space="preserve"> ترابی</v>
      </c>
      <c r="K12" s="343" t="str">
        <f>payesh!M18</f>
        <v>ت7</v>
      </c>
      <c r="L12" s="343" t="str">
        <f>payesh!M8</f>
        <v>فعال</v>
      </c>
      <c r="M12" s="343">
        <f>payesh!M46</f>
        <v>28</v>
      </c>
      <c r="N12" s="344">
        <f>payesh!M17</f>
        <v>723066890</v>
      </c>
      <c r="O12" s="344">
        <f>payesh!M16</f>
        <v>23</v>
      </c>
      <c r="P12" s="343" t="str">
        <f>payesh!M19</f>
        <v>فاطمه مرادی</v>
      </c>
      <c r="Q12" s="343" t="str">
        <f>payesh!M20</f>
        <v>هدیه رحمتی</v>
      </c>
      <c r="R12" s="343" t="str">
        <f>payesh!M21</f>
        <v>اقدس مرادی</v>
      </c>
      <c r="S12" s="343">
        <f>payesh!$M$55</f>
        <v>1500000</v>
      </c>
      <c r="T12" s="365" t="str">
        <f>payesh!M64</f>
        <v>94/3/2</v>
      </c>
      <c r="U12" s="343">
        <f>payesh!$M$56</f>
        <v>1500000</v>
      </c>
      <c r="V12" s="365" t="str">
        <f>payesh!M65</f>
        <v>94/6/21</v>
      </c>
      <c r="W12" s="343" t="str">
        <f>payesh!M78</f>
        <v>94/2/28</v>
      </c>
      <c r="X12" s="343">
        <f>payesh!M79</f>
        <v>78</v>
      </c>
      <c r="Y12" s="343" t="str">
        <f>payesh!$M$83</f>
        <v>94/6/2</v>
      </c>
      <c r="Z12" s="343">
        <f>payesh!$M$84</f>
        <v>0</v>
      </c>
      <c r="AA12" s="343">
        <f>payesh!M86</f>
        <v>210000000</v>
      </c>
      <c r="AB12" s="343">
        <f>payesh!M153</f>
        <v>0</v>
      </c>
      <c r="AC12" s="343">
        <f>payesh!M155</f>
        <v>0</v>
      </c>
      <c r="AD12" s="343">
        <f>payesh!M157</f>
        <v>0</v>
      </c>
      <c r="AE12" s="343">
        <f>payesh!M159</f>
        <v>0</v>
      </c>
      <c r="AF12" s="343">
        <f>payesh!M161</f>
        <v>0</v>
      </c>
      <c r="AG12" s="343">
        <f>payesh!M163</f>
        <v>0</v>
      </c>
      <c r="AH12" s="343">
        <f>payesh!M165</f>
        <v>0</v>
      </c>
      <c r="AI12" s="343">
        <f>payesh!M167</f>
        <v>0</v>
      </c>
      <c r="AJ12" s="343">
        <f>payesh!M169</f>
        <v>0</v>
      </c>
      <c r="AK12" s="346">
        <f>payesh!M171</f>
        <v>0</v>
      </c>
    </row>
    <row r="13" spans="2:38" ht="18.75" thickBot="1" x14ac:dyDescent="0.3">
      <c r="B13" s="348">
        <f>payesh!N7</f>
        <v>10</v>
      </c>
      <c r="C13" s="351" t="str">
        <f>payesh!N3</f>
        <v>ایلام</v>
      </c>
      <c r="D13" s="351" t="str">
        <f>payesh!N4</f>
        <v>ابدانان</v>
      </c>
      <c r="E13" s="351" t="str">
        <f>payesh!N5</f>
        <v>سرابباغ</v>
      </c>
      <c r="F13" s="351" t="str">
        <f>payesh!N6</f>
        <v>ستایش</v>
      </c>
      <c r="G13" s="351" t="str">
        <f>payesh!N10</f>
        <v>کلینیک حضرت زینب</v>
      </c>
      <c r="H13" s="351" t="str">
        <f>payesh!N13</f>
        <v>معصومه سبزواری</v>
      </c>
      <c r="I13" s="352">
        <f>payesh!N14</f>
        <v>9185518763</v>
      </c>
      <c r="J13" s="351" t="str">
        <f>payesh!N9</f>
        <v xml:space="preserve"> ترابی</v>
      </c>
      <c r="K13" s="351" t="str">
        <f>payesh!N18</f>
        <v>ت7</v>
      </c>
      <c r="L13" s="351" t="str">
        <f>payesh!N8</f>
        <v>فعال</v>
      </c>
      <c r="M13" s="351">
        <f>payesh!N46</f>
        <v>26</v>
      </c>
      <c r="N13" s="352">
        <f>payesh!N17</f>
        <v>728077954</v>
      </c>
      <c r="O13" s="352">
        <f>payesh!N16</f>
        <v>22</v>
      </c>
      <c r="P13" s="351" t="str">
        <f>payesh!N19</f>
        <v>زهرا سبزواری</v>
      </c>
      <c r="Q13" s="351" t="str">
        <f>payesh!N20</f>
        <v>سکینه حیدری</v>
      </c>
      <c r="R13" s="351" t="str">
        <f>payesh!N21</f>
        <v>خدیجه کولیوندی</v>
      </c>
      <c r="S13" s="351">
        <f>payesh!$N$55</f>
        <v>1500000</v>
      </c>
      <c r="T13" s="366" t="str">
        <f>payesh!N64</f>
        <v>94/3/2</v>
      </c>
      <c r="U13" s="351">
        <f>payesh!$N$56</f>
        <v>1500000</v>
      </c>
      <c r="V13" s="366" t="str">
        <f>payesh!N65</f>
        <v>94/6/14</v>
      </c>
      <c r="W13" s="351" t="str">
        <f>payesh!N78</f>
        <v>94/2/30</v>
      </c>
      <c r="X13" s="351">
        <f>payesh!N79</f>
        <v>80</v>
      </c>
      <c r="Y13" s="351" t="str">
        <f>payesh!$N$83</f>
        <v>94/6/2</v>
      </c>
      <c r="Z13" s="351">
        <f>payesh!$N$84</f>
        <v>0</v>
      </c>
      <c r="AA13" s="351">
        <f>payesh!N86</f>
        <v>200000000</v>
      </c>
      <c r="AB13" s="351">
        <f>payesh!N153</f>
        <v>0</v>
      </c>
      <c r="AC13" s="351">
        <f>payesh!N155</f>
        <v>0</v>
      </c>
      <c r="AD13" s="351">
        <f>payesh!N157</f>
        <v>0</v>
      </c>
      <c r="AE13" s="351">
        <f>payesh!N159</f>
        <v>0</v>
      </c>
      <c r="AF13" s="351">
        <f>payesh!N161</f>
        <v>0</v>
      </c>
      <c r="AG13" s="351">
        <f>payesh!N163</f>
        <v>0</v>
      </c>
      <c r="AH13" s="351">
        <f>payesh!N165</f>
        <v>0</v>
      </c>
      <c r="AI13" s="351">
        <f>payesh!N167</f>
        <v>0</v>
      </c>
      <c r="AJ13" s="351">
        <f>payesh!N169</f>
        <v>0</v>
      </c>
      <c r="AK13" s="354">
        <f>payesh!N171</f>
        <v>0</v>
      </c>
    </row>
    <row r="14" spans="2:38" ht="18.75" thickBot="1" x14ac:dyDescent="0.3">
      <c r="B14" s="355">
        <f>payesh!O7</f>
        <v>11</v>
      </c>
      <c r="C14" s="343" t="str">
        <f>payesh!O3</f>
        <v>ایلام</v>
      </c>
      <c r="D14" s="343" t="str">
        <f>payesh!O4</f>
        <v>ابدانان</v>
      </c>
      <c r="E14" s="343" t="str">
        <f>payesh!O5</f>
        <v>ژیور</v>
      </c>
      <c r="F14" s="343" t="str">
        <f>payesh!O6</f>
        <v>پونه</v>
      </c>
      <c r="G14" s="343" t="str">
        <f>payesh!O10</f>
        <v>کلینیک حضرت زینب</v>
      </c>
      <c r="H14" s="343" t="str">
        <f>payesh!O13</f>
        <v>فرزانه نوروزی</v>
      </c>
      <c r="I14" s="344">
        <f>payesh!O14</f>
        <v>9184635991</v>
      </c>
      <c r="J14" s="343" t="str">
        <f>payesh!O9</f>
        <v xml:space="preserve"> ترابی</v>
      </c>
      <c r="K14" s="343" t="str">
        <f>payesh!O18</f>
        <v>ت4</v>
      </c>
      <c r="L14" s="343" t="str">
        <f>payesh!O8</f>
        <v>فعال</v>
      </c>
      <c r="M14" s="343">
        <f>payesh!O46</f>
        <v>29</v>
      </c>
      <c r="N14" s="344">
        <f>payesh!O17</f>
        <v>728318824</v>
      </c>
      <c r="O14" s="344">
        <f>payesh!O16</f>
        <v>14</v>
      </c>
      <c r="P14" s="343" t="str">
        <f>payesh!O19</f>
        <v>شریفه بزرگمهر</v>
      </c>
      <c r="Q14" s="343" t="str">
        <f>payesh!O20</f>
        <v>ثنا نورصیدی</v>
      </c>
      <c r="R14" s="343" t="str">
        <f>payesh!O21</f>
        <v>فاطمه کرمی</v>
      </c>
      <c r="S14" s="343">
        <f>payesh!$O$55</f>
        <v>1500000</v>
      </c>
      <c r="T14" s="365" t="str">
        <f>payesh!O64</f>
        <v>94/3/2</v>
      </c>
      <c r="U14" s="343">
        <f>payesh!$O$56</f>
        <v>1500000</v>
      </c>
      <c r="V14" s="365">
        <f>payesh!O65</f>
        <v>0</v>
      </c>
      <c r="W14" s="343" t="str">
        <f>payesh!O78</f>
        <v>94/6/24</v>
      </c>
      <c r="X14" s="343" t="str">
        <f>payesh!O79</f>
        <v>7 9</v>
      </c>
      <c r="Y14" s="343" t="str">
        <f>payesh!$O$83</f>
        <v>94/9/1</v>
      </c>
      <c r="Z14" s="343">
        <f>payesh!$O$84</f>
        <v>0</v>
      </c>
      <c r="AA14" s="343">
        <f>payesh!O86</f>
        <v>200000000</v>
      </c>
      <c r="AB14" s="343">
        <f>payesh!O153</f>
        <v>0</v>
      </c>
      <c r="AC14" s="343">
        <f>payesh!O155</f>
        <v>0</v>
      </c>
      <c r="AD14" s="343">
        <f>payesh!O157</f>
        <v>0</v>
      </c>
      <c r="AE14" s="343">
        <f>payesh!O159</f>
        <v>0</v>
      </c>
      <c r="AF14" s="343">
        <f>payesh!O161</f>
        <v>0</v>
      </c>
      <c r="AG14" s="343">
        <f>payesh!O163</f>
        <v>0</v>
      </c>
      <c r="AH14" s="343">
        <f>payesh!O165</f>
        <v>0</v>
      </c>
      <c r="AI14" s="343">
        <f>payesh!O167</f>
        <v>0</v>
      </c>
      <c r="AJ14" s="343">
        <f>payesh!O169</f>
        <v>0</v>
      </c>
      <c r="AK14" s="346">
        <f>payesh!O171</f>
        <v>0</v>
      </c>
    </row>
    <row r="15" spans="2:38" ht="18.75" thickBot="1" x14ac:dyDescent="0.3">
      <c r="B15" s="348">
        <f>payesh!P7</f>
        <v>12</v>
      </c>
      <c r="C15" s="351" t="str">
        <f>payesh!P3</f>
        <v>ایلام</v>
      </c>
      <c r="D15" s="351" t="str">
        <f>payesh!P4</f>
        <v>ابدانان</v>
      </c>
      <c r="E15" s="351" t="str">
        <f>payesh!P5</f>
        <v>چم کبود</v>
      </c>
      <c r="F15" s="351" t="str">
        <f>payesh!P6</f>
        <v>نگین</v>
      </c>
      <c r="G15" s="351" t="str">
        <f>payesh!P10</f>
        <v>کلینیک حضرت زینب</v>
      </c>
      <c r="H15" s="351" t="str">
        <f>payesh!P13</f>
        <v>فرزانه نوروزی</v>
      </c>
      <c r="I15" s="352">
        <f>payesh!P14</f>
        <v>9184635991</v>
      </c>
      <c r="J15" s="351" t="str">
        <f>payesh!P9</f>
        <v xml:space="preserve"> ترابی</v>
      </c>
      <c r="K15" s="351" t="str">
        <f>payesh!P18</f>
        <v>ت4</v>
      </c>
      <c r="L15" s="351" t="str">
        <f>payesh!P8</f>
        <v>فعال</v>
      </c>
      <c r="M15" s="351">
        <f>payesh!P46</f>
        <v>28</v>
      </c>
      <c r="N15" s="352">
        <f>payesh!P17</f>
        <v>734390971</v>
      </c>
      <c r="O15" s="352">
        <f>payesh!P16</f>
        <v>15</v>
      </c>
      <c r="P15" s="351" t="str">
        <f>payesh!P19</f>
        <v>مهری عزیزی</v>
      </c>
      <c r="Q15" s="351" t="str">
        <f>payesh!P20</f>
        <v>فاطمه آبسالان</v>
      </c>
      <c r="R15" s="351" t="str">
        <f>payesh!P21</f>
        <v>صفیه پیری</v>
      </c>
      <c r="S15" s="351">
        <f>payesh!$P$55</f>
        <v>1500000</v>
      </c>
      <c r="T15" s="366" t="str">
        <f>payesh!P64</f>
        <v>94/3/2</v>
      </c>
      <c r="U15" s="351">
        <f>payesh!$P$56</f>
        <v>1500000</v>
      </c>
      <c r="V15" s="366">
        <f>payesh!P65</f>
        <v>0</v>
      </c>
      <c r="W15" s="351" t="str">
        <f>payesh!P78</f>
        <v>94/6/24</v>
      </c>
      <c r="X15" s="351" t="str">
        <f>payesh!P79</f>
        <v>7 9</v>
      </c>
      <c r="Y15" s="351" t="str">
        <f>payesh!$P$83</f>
        <v>94/9/1</v>
      </c>
      <c r="Z15" s="351">
        <f>payesh!$P$84</f>
        <v>0</v>
      </c>
      <c r="AA15" s="351">
        <f>payesh!P86</f>
        <v>200000000</v>
      </c>
      <c r="AB15" s="351">
        <f>payesh!P153</f>
        <v>0</v>
      </c>
      <c r="AC15" s="351">
        <f>payesh!P155</f>
        <v>0</v>
      </c>
      <c r="AD15" s="351">
        <f>payesh!P157</f>
        <v>0</v>
      </c>
      <c r="AE15" s="351">
        <f>payesh!P159</f>
        <v>0</v>
      </c>
      <c r="AF15" s="351">
        <f>payesh!P161</f>
        <v>0</v>
      </c>
      <c r="AG15" s="351">
        <f>payesh!P163</f>
        <v>0</v>
      </c>
      <c r="AH15" s="351">
        <f>payesh!P165</f>
        <v>0</v>
      </c>
      <c r="AI15" s="351">
        <f>payesh!P167</f>
        <v>0</v>
      </c>
      <c r="AJ15" s="351">
        <f>payesh!P169</f>
        <v>0</v>
      </c>
      <c r="AK15" s="354">
        <f>payesh!P171</f>
        <v>0</v>
      </c>
    </row>
    <row r="16" spans="2:38" ht="18.75" thickBot="1" x14ac:dyDescent="0.3">
      <c r="B16" s="355">
        <f>payesh!Q7</f>
        <v>13</v>
      </c>
      <c r="C16" s="343" t="str">
        <f>payesh!Q3</f>
        <v>ایلام</v>
      </c>
      <c r="D16" s="343" t="str">
        <f>payesh!Q4</f>
        <v>ابدانان</v>
      </c>
      <c r="E16" s="343" t="str">
        <f>payesh!Q5</f>
        <v>سرابباغ</v>
      </c>
      <c r="F16" s="343" t="str">
        <f>payesh!Q6</f>
        <v>باران</v>
      </c>
      <c r="G16" s="343" t="str">
        <f>payesh!Q10</f>
        <v>کلینیک حضرت زینب</v>
      </c>
      <c r="H16" s="343" t="str">
        <f>payesh!Q13</f>
        <v>معصومه سبزواری</v>
      </c>
      <c r="I16" s="344">
        <f>payesh!Q14</f>
        <v>9185518763</v>
      </c>
      <c r="J16" s="343" t="str">
        <f>payesh!Q9</f>
        <v xml:space="preserve"> ترابی</v>
      </c>
      <c r="K16" s="343" t="str">
        <f>payesh!Q18</f>
        <v>ت7</v>
      </c>
      <c r="L16" s="343" t="str">
        <f>payesh!Q8</f>
        <v>فعال</v>
      </c>
      <c r="M16" s="343" t="str">
        <f>payesh!Q46</f>
        <v>29هرماه</v>
      </c>
      <c r="N16" s="344">
        <f>payesh!Q17</f>
        <v>733491926</v>
      </c>
      <c r="O16" s="344">
        <f>payesh!Q16</f>
        <v>23</v>
      </c>
      <c r="P16" s="343" t="str">
        <f>payesh!Q19</f>
        <v>بتول طاهری زاده</v>
      </c>
      <c r="Q16" s="343" t="str">
        <f>payesh!Q20</f>
        <v>طاهره رئیسی</v>
      </c>
      <c r="R16" s="343" t="str">
        <f>payesh!Q21</f>
        <v>راضیه رئیسی</v>
      </c>
      <c r="S16" s="343">
        <f>payesh!$Q$55</f>
        <v>1500000</v>
      </c>
      <c r="T16" s="365" t="str">
        <f>payesh!Q64</f>
        <v>94/2/9</v>
      </c>
      <c r="U16" s="343">
        <f>payesh!$Q$56</f>
        <v>1500000</v>
      </c>
      <c r="V16" s="365" t="str">
        <f>payesh!Q65</f>
        <v>6000000</v>
      </c>
      <c r="W16" s="343" t="str">
        <f>payesh!Q78</f>
        <v>94/2/30</v>
      </c>
      <c r="X16" s="343">
        <f>payesh!Q79</f>
        <v>81</v>
      </c>
      <c r="Y16" s="343" t="str">
        <f>payesh!$Q$83</f>
        <v>94/6/2</v>
      </c>
      <c r="Z16" s="343">
        <f>payesh!$Q$84</f>
        <v>0</v>
      </c>
      <c r="AA16" s="343">
        <f>payesh!Q86</f>
        <v>210000000</v>
      </c>
      <c r="AB16" s="343">
        <f>payesh!Q153</f>
        <v>0</v>
      </c>
      <c r="AC16" s="343">
        <f>payesh!Q155</f>
        <v>0</v>
      </c>
      <c r="AD16" s="343">
        <f>payesh!Q157</f>
        <v>0</v>
      </c>
      <c r="AE16" s="343">
        <f>payesh!Q159</f>
        <v>0</v>
      </c>
      <c r="AF16" s="343">
        <f>payesh!Q161</f>
        <v>0</v>
      </c>
      <c r="AG16" s="343">
        <f>payesh!Q163</f>
        <v>0</v>
      </c>
      <c r="AH16" s="343">
        <f>payesh!Q165</f>
        <v>0</v>
      </c>
      <c r="AI16" s="343">
        <f>payesh!Q167</f>
        <v>0</v>
      </c>
      <c r="AJ16" s="343">
        <f>payesh!Q169</f>
        <v>0</v>
      </c>
      <c r="AK16" s="346">
        <f>payesh!Q171</f>
        <v>0</v>
      </c>
    </row>
    <row r="17" spans="2:37" ht="18.75" thickBot="1" x14ac:dyDescent="0.3">
      <c r="B17" s="348">
        <f>payesh!R7</f>
        <v>14</v>
      </c>
      <c r="C17" s="351" t="str">
        <f>payesh!R3</f>
        <v>ایلام</v>
      </c>
      <c r="D17" s="351" t="str">
        <f>payesh!R4</f>
        <v>ابدانان</v>
      </c>
      <c r="E17" s="351" t="str">
        <f>payesh!R5</f>
        <v>سرابباغ</v>
      </c>
      <c r="F17" s="351" t="str">
        <f>payesh!R6</f>
        <v>گل مریم</v>
      </c>
      <c r="G17" s="351" t="str">
        <f>payesh!R10</f>
        <v>کلینیک حضرت زینب</v>
      </c>
      <c r="H17" s="351" t="str">
        <f>payesh!R13</f>
        <v>معصومه سبزواری</v>
      </c>
      <c r="I17" s="352">
        <f>payesh!R14</f>
        <v>9185518763</v>
      </c>
      <c r="J17" s="351" t="str">
        <f>payesh!R9</f>
        <v xml:space="preserve"> ترابی</v>
      </c>
      <c r="K17" s="351" t="str">
        <f>payesh!R18</f>
        <v>ت2</v>
      </c>
      <c r="L17" s="351" t="str">
        <f>payesh!R8</f>
        <v>فعال</v>
      </c>
      <c r="M17" s="351">
        <f>payesh!R46</f>
        <v>26</v>
      </c>
      <c r="N17" s="352">
        <f>payesh!R17</f>
        <v>784789342</v>
      </c>
      <c r="O17" s="352">
        <f>payesh!R16</f>
        <v>8</v>
      </c>
      <c r="P17" s="351" t="str">
        <f>payesh!R19</f>
        <v>زکیه حاصلی</v>
      </c>
      <c r="Q17" s="351" t="str">
        <f>payesh!R20</f>
        <v>فاطمه غارتی</v>
      </c>
      <c r="R17" s="351" t="str">
        <f>payesh!R21</f>
        <v>مهتاب غارتی</v>
      </c>
      <c r="S17" s="351">
        <f>payesh!$R$55</f>
        <v>1500000</v>
      </c>
      <c r="T17" s="366" t="str">
        <f>payesh!R64</f>
        <v>95/3/31</v>
      </c>
      <c r="U17" s="351">
        <f>payesh!$R$56</f>
        <v>0</v>
      </c>
      <c r="V17" s="366">
        <f>payesh!R65</f>
        <v>0</v>
      </c>
      <c r="W17" s="351" t="str">
        <f>payesh!R78</f>
        <v>95/6/22</v>
      </c>
      <c r="X17" s="351">
        <f>payesh!R79</f>
        <v>82</v>
      </c>
      <c r="Y17" s="351">
        <f>payesh!$R$83</f>
        <v>0</v>
      </c>
      <c r="Z17" s="351">
        <f>payesh!$R$84</f>
        <v>0</v>
      </c>
      <c r="AA17" s="351">
        <f>payesh!R86</f>
        <v>215000000</v>
      </c>
      <c r="AB17" s="351">
        <f>payesh!R153</f>
        <v>0</v>
      </c>
      <c r="AC17" s="351">
        <f>payesh!R155</f>
        <v>0</v>
      </c>
      <c r="AD17" s="351">
        <f>payesh!R157</f>
        <v>0</v>
      </c>
      <c r="AE17" s="351">
        <f>payesh!R159</f>
        <v>0</v>
      </c>
      <c r="AF17" s="351">
        <f>payesh!R161</f>
        <v>0</v>
      </c>
      <c r="AG17" s="351">
        <f>payesh!R163</f>
        <v>0</v>
      </c>
      <c r="AH17" s="351">
        <f>payesh!R165</f>
        <v>0</v>
      </c>
      <c r="AI17" s="351">
        <f>payesh!R167</f>
        <v>0</v>
      </c>
      <c r="AJ17" s="351">
        <f>payesh!R169</f>
        <v>0</v>
      </c>
      <c r="AK17" s="354">
        <f>payesh!R171</f>
        <v>0</v>
      </c>
    </row>
    <row r="18" spans="2:37" ht="18.75" thickBot="1" x14ac:dyDescent="0.3">
      <c r="B18" s="355">
        <f>payesh!S7</f>
        <v>15</v>
      </c>
      <c r="C18" s="343" t="str">
        <f>payesh!S3</f>
        <v>ایلام</v>
      </c>
      <c r="D18" s="343" t="str">
        <f>payesh!S4</f>
        <v>ابدانان</v>
      </c>
      <c r="E18" s="343" t="str">
        <f>payesh!S5</f>
        <v>چم کبود</v>
      </c>
      <c r="F18" s="343" t="str">
        <f>payesh!S6</f>
        <v>آوا</v>
      </c>
      <c r="G18" s="343" t="str">
        <f>payesh!S10</f>
        <v>کلینیک حضرت زینب</v>
      </c>
      <c r="H18" s="343" t="str">
        <f>payesh!S13</f>
        <v>فرزانه نوروزی</v>
      </c>
      <c r="I18" s="344">
        <f>payesh!S14</f>
        <v>9184635991</v>
      </c>
      <c r="J18" s="343" t="str">
        <f>payesh!S9</f>
        <v xml:space="preserve"> ترابی</v>
      </c>
      <c r="K18" s="343" t="str">
        <f>payesh!S18</f>
        <v>پ12</v>
      </c>
      <c r="L18" s="343" t="str">
        <f>payesh!S8</f>
        <v>فعال</v>
      </c>
      <c r="M18" s="343">
        <f>payesh!S46</f>
        <v>27</v>
      </c>
      <c r="N18" s="344">
        <f>payesh!S17</f>
        <v>790877478</v>
      </c>
      <c r="O18" s="344">
        <f>payesh!S16</f>
        <v>2</v>
      </c>
      <c r="P18" s="343" t="str">
        <f>payesh!S19</f>
        <v>زهرا مقدمی اصل</v>
      </c>
      <c r="Q18" s="343" t="str">
        <f>payesh!S20</f>
        <v>زهرا کوهدشتی</v>
      </c>
      <c r="R18" s="343" t="str">
        <f>payesh!S21</f>
        <v>مریم ارزانی نژاد</v>
      </c>
      <c r="S18" s="343">
        <f>payesh!$S$55</f>
        <v>1500000</v>
      </c>
      <c r="T18" s="365">
        <f>payesh!S64</f>
        <v>0</v>
      </c>
      <c r="U18" s="343">
        <f>payesh!$S$56</f>
        <v>0</v>
      </c>
      <c r="V18" s="365">
        <f>payesh!S65</f>
        <v>0</v>
      </c>
      <c r="W18" s="343" t="str">
        <f>payesh!S78</f>
        <v>95/9/2</v>
      </c>
      <c r="X18" s="343">
        <f>payesh!S79</f>
        <v>86</v>
      </c>
      <c r="Y18" s="343">
        <f>payesh!$S$83</f>
        <v>0</v>
      </c>
      <c r="Z18" s="343">
        <f>payesh!$S$84</f>
        <v>0</v>
      </c>
      <c r="AA18" s="343">
        <f>payesh!S86</f>
        <v>0</v>
      </c>
      <c r="AB18" s="343">
        <f>payesh!S153</f>
        <v>0</v>
      </c>
      <c r="AC18" s="343">
        <f>payesh!S155</f>
        <v>0</v>
      </c>
      <c r="AD18" s="343">
        <f>payesh!S157</f>
        <v>0</v>
      </c>
      <c r="AE18" s="343">
        <f>payesh!S159</f>
        <v>0</v>
      </c>
      <c r="AF18" s="343">
        <f>payesh!S161</f>
        <v>0</v>
      </c>
      <c r="AG18" s="343">
        <f>payesh!S163</f>
        <v>0</v>
      </c>
      <c r="AH18" s="343">
        <f>payesh!S165</f>
        <v>0</v>
      </c>
      <c r="AI18" s="343">
        <f>payesh!S167</f>
        <v>0</v>
      </c>
      <c r="AJ18" s="343">
        <f>payesh!S169</f>
        <v>0</v>
      </c>
      <c r="AK18" s="346">
        <f>payesh!S171</f>
        <v>0</v>
      </c>
    </row>
    <row r="19" spans="2:37" ht="18.75" thickBot="1" x14ac:dyDescent="0.3">
      <c r="B19" s="348">
        <f>payesh!T7</f>
        <v>16</v>
      </c>
      <c r="C19" s="351" t="str">
        <f>payesh!T3</f>
        <v>ايلام</v>
      </c>
      <c r="D19" s="351" t="str">
        <f>payesh!T4</f>
        <v>ابدانان</v>
      </c>
      <c r="E19" s="351" t="str">
        <f>payesh!T5</f>
        <v>سرابباغ</v>
      </c>
      <c r="F19" s="351" t="str">
        <f>payesh!T6</f>
        <v>افتاب</v>
      </c>
      <c r="G19" s="351" t="str">
        <f>payesh!T10</f>
        <v>کلینیک حضرت زینب</v>
      </c>
      <c r="H19" s="351" t="str">
        <f>payesh!T13</f>
        <v>معصومه سبزواری</v>
      </c>
      <c r="I19" s="352">
        <f>payesh!T14</f>
        <v>9185518763</v>
      </c>
      <c r="J19" s="351" t="str">
        <f>payesh!T9</f>
        <v>ترابي</v>
      </c>
      <c r="K19" s="351" t="str">
        <f>payesh!T18</f>
        <v>ب7</v>
      </c>
      <c r="L19" s="351">
        <f>payesh!T8</f>
        <v>0</v>
      </c>
      <c r="M19" s="351">
        <f>payesh!T46</f>
        <v>29</v>
      </c>
      <c r="N19" s="352">
        <f>payesh!T17</f>
        <v>805082978</v>
      </c>
      <c r="O19" s="352">
        <f>payesh!T16</f>
        <v>1</v>
      </c>
      <c r="P19" s="351" t="str">
        <f>payesh!T19</f>
        <v>عفت رضایی</v>
      </c>
      <c r="Q19" s="351" t="str">
        <f>payesh!T20</f>
        <v>فریده مرادی پور</v>
      </c>
      <c r="R19" s="351" t="str">
        <f>payesh!T21</f>
        <v>طاهره چناری</v>
      </c>
      <c r="S19" s="351">
        <f>payesh!$T$55</f>
        <v>0</v>
      </c>
      <c r="T19" s="366">
        <f>payesh!T64</f>
        <v>0</v>
      </c>
      <c r="U19" s="351">
        <f>payesh!$T$56</f>
        <v>0</v>
      </c>
      <c r="V19" s="366">
        <f>payesh!T65</f>
        <v>0</v>
      </c>
      <c r="W19" s="351">
        <f>payesh!T78</f>
        <v>0</v>
      </c>
      <c r="X19" s="351">
        <f>payesh!T79</f>
        <v>0</v>
      </c>
      <c r="Y19" s="351">
        <f>payesh!$T$83</f>
        <v>0</v>
      </c>
      <c r="Z19" s="351">
        <f>payesh!$T$84</f>
        <v>0</v>
      </c>
      <c r="AA19" s="351">
        <f>payesh!T86</f>
        <v>0</v>
      </c>
      <c r="AB19" s="351">
        <f>payesh!T153</f>
        <v>0</v>
      </c>
      <c r="AC19" s="351">
        <f>payesh!T155</f>
        <v>0</v>
      </c>
      <c r="AD19" s="351">
        <f>payesh!T157</f>
        <v>0</v>
      </c>
      <c r="AE19" s="351">
        <f>payesh!T159</f>
        <v>0</v>
      </c>
      <c r="AF19" s="351">
        <f>payesh!T161</f>
        <v>0</v>
      </c>
      <c r="AG19" s="351">
        <f>payesh!T163</f>
        <v>0</v>
      </c>
      <c r="AH19" s="351">
        <f>payesh!T165</f>
        <v>0</v>
      </c>
      <c r="AI19" s="351">
        <f>payesh!T167</f>
        <v>0</v>
      </c>
      <c r="AJ19" s="351">
        <f>payesh!T169</f>
        <v>0</v>
      </c>
      <c r="AK19" s="354">
        <f>payesh!T171</f>
        <v>0</v>
      </c>
    </row>
    <row r="20" spans="2:37" ht="18.75" thickBot="1" x14ac:dyDescent="0.3">
      <c r="B20" s="355">
        <f>payesh!U7</f>
        <v>17</v>
      </c>
      <c r="C20" s="343" t="str">
        <f>payesh!U3</f>
        <v>ايلام</v>
      </c>
      <c r="D20" s="343" t="str">
        <f>payesh!U4</f>
        <v>ابدانان</v>
      </c>
      <c r="E20" s="343" t="str">
        <f>payesh!U5</f>
        <v>پشت قلعه</v>
      </c>
      <c r="F20" s="343" t="str">
        <f>payesh!U6</f>
        <v>دریا</v>
      </c>
      <c r="G20" s="343" t="str">
        <f>payesh!U10</f>
        <v>کلینیک حضرت زینب</v>
      </c>
      <c r="H20" s="343" t="str">
        <f>payesh!U13</f>
        <v>فرزانه نوروزی</v>
      </c>
      <c r="I20" s="344">
        <f>payesh!U14</f>
        <v>9182600826</v>
      </c>
      <c r="J20" s="343" t="str">
        <f>payesh!U9</f>
        <v>ترابي</v>
      </c>
      <c r="K20" s="343" t="str">
        <f>payesh!U18</f>
        <v>ب7</v>
      </c>
      <c r="L20" s="343">
        <f>payesh!U8</f>
        <v>0</v>
      </c>
      <c r="M20" s="343">
        <f>payesh!U46</f>
        <v>28</v>
      </c>
      <c r="N20" s="344">
        <f>payesh!U17</f>
        <v>806584376</v>
      </c>
      <c r="O20" s="344">
        <f>payesh!U16</f>
        <v>1</v>
      </c>
      <c r="P20" s="343" t="str">
        <f>payesh!U19</f>
        <v>سکینه چنان</v>
      </c>
      <c r="Q20" s="343" t="str">
        <f>payesh!U20</f>
        <v>حنیفه سپهوند</v>
      </c>
      <c r="R20" s="343" t="str">
        <f>payesh!U21</f>
        <v>سعیده نصوری</v>
      </c>
      <c r="S20" s="343">
        <f>payesh!$U$55</f>
        <v>0</v>
      </c>
      <c r="T20" s="365">
        <f>payesh!U64</f>
        <v>0</v>
      </c>
      <c r="U20" s="343">
        <f>payesh!$U$56</f>
        <v>0</v>
      </c>
      <c r="V20" s="365">
        <f>payesh!U65</f>
        <v>0</v>
      </c>
      <c r="W20" s="343">
        <f>payesh!U78</f>
        <v>0</v>
      </c>
      <c r="X20" s="343">
        <f>payesh!U79</f>
        <v>0</v>
      </c>
      <c r="Y20" s="343">
        <f>payesh!$U$83</f>
        <v>0</v>
      </c>
      <c r="Z20" s="343">
        <f>payesh!$U$84</f>
        <v>0</v>
      </c>
      <c r="AA20" s="343">
        <f>payesh!U86</f>
        <v>0</v>
      </c>
      <c r="AB20" s="343">
        <f>payesh!U153</f>
        <v>0</v>
      </c>
      <c r="AC20" s="343">
        <f>payesh!U155</f>
        <v>0</v>
      </c>
      <c r="AD20" s="343">
        <f>payesh!U157</f>
        <v>0</v>
      </c>
      <c r="AE20" s="343">
        <f>payesh!U159</f>
        <v>0</v>
      </c>
      <c r="AF20" s="343">
        <f>payesh!U161</f>
        <v>0</v>
      </c>
      <c r="AG20" s="343">
        <f>payesh!U163</f>
        <v>0</v>
      </c>
      <c r="AH20" s="343">
        <f>payesh!U165</f>
        <v>0</v>
      </c>
      <c r="AI20" s="343">
        <f>payesh!U167</f>
        <v>0</v>
      </c>
      <c r="AJ20" s="343">
        <f>payesh!U169</f>
        <v>0</v>
      </c>
      <c r="AK20" s="346">
        <f>payesh!U171</f>
        <v>0</v>
      </c>
    </row>
    <row r="21" spans="2:37" ht="18.75" thickBot="1" x14ac:dyDescent="0.3">
      <c r="B21" s="348">
        <f>payesh!V7</f>
        <v>18</v>
      </c>
      <c r="C21" s="351" t="str">
        <f>payesh!V3</f>
        <v>ایلام</v>
      </c>
      <c r="D21" s="351" t="str">
        <f>payesh!V4</f>
        <v>ابدانان</v>
      </c>
      <c r="E21" s="351" t="str">
        <f>payesh!V5</f>
        <v>پشت قلعه</v>
      </c>
      <c r="F21" s="351" t="str">
        <f>payesh!V6</f>
        <v>شکوفه</v>
      </c>
      <c r="G21" s="351" t="str">
        <f>payesh!V10</f>
        <v>کلینیک حضرت زینب</v>
      </c>
      <c r="H21" s="351" t="str">
        <f>payesh!V13</f>
        <v>فرزانه نوروزی</v>
      </c>
      <c r="I21" s="352">
        <f>payesh!V14</f>
        <v>9182600826</v>
      </c>
      <c r="J21" s="351" t="str">
        <f>payesh!V9</f>
        <v>ترابی</v>
      </c>
      <c r="K21" s="351" t="str">
        <f>payesh!V18</f>
        <v>پ7</v>
      </c>
      <c r="L21" s="351">
        <f>payesh!V8</f>
        <v>0</v>
      </c>
      <c r="M21" s="351">
        <f>payesh!V46</f>
        <v>28</v>
      </c>
      <c r="N21" s="352">
        <f>payesh!V17</f>
        <v>805677433</v>
      </c>
      <c r="O21" s="352">
        <f>payesh!V16</f>
        <v>1</v>
      </c>
      <c r="P21" s="351" t="str">
        <f>payesh!V19</f>
        <v>حنیفه لطفی زاده</v>
      </c>
      <c r="Q21" s="351" t="str">
        <f>payesh!V20</f>
        <v>زینب دیناروند</v>
      </c>
      <c r="R21" s="351" t="str">
        <f>payesh!V21</f>
        <v>نصرت جعفری</v>
      </c>
      <c r="S21" s="351">
        <f>payesh!$V$55</f>
        <v>0</v>
      </c>
      <c r="T21" s="366">
        <f>payesh!V64</f>
        <v>0</v>
      </c>
      <c r="U21" s="351">
        <f>payesh!$V$56</f>
        <v>0</v>
      </c>
      <c r="V21" s="366">
        <f>payesh!V65</f>
        <v>0</v>
      </c>
      <c r="W21" s="351">
        <f>payesh!V78</f>
        <v>0</v>
      </c>
      <c r="X21" s="351">
        <f>payesh!V79</f>
        <v>0</v>
      </c>
      <c r="Y21" s="351">
        <f>payesh!$V$83</f>
        <v>0</v>
      </c>
      <c r="Z21" s="351">
        <f>payesh!$V$84</f>
        <v>0</v>
      </c>
      <c r="AA21" s="351">
        <f>payesh!V86</f>
        <v>0</v>
      </c>
      <c r="AB21" s="351">
        <f>payesh!V153</f>
        <v>0</v>
      </c>
      <c r="AC21" s="351">
        <f>payesh!V155</f>
        <v>0</v>
      </c>
      <c r="AD21" s="351">
        <f>payesh!V157</f>
        <v>0</v>
      </c>
      <c r="AE21" s="351">
        <f>payesh!V159</f>
        <v>0</v>
      </c>
      <c r="AF21" s="351">
        <f>payesh!V161</f>
        <v>0</v>
      </c>
      <c r="AG21" s="351">
        <f>payesh!V163</f>
        <v>0</v>
      </c>
      <c r="AH21" s="351">
        <f>payesh!V165</f>
        <v>0</v>
      </c>
      <c r="AI21" s="351">
        <f>payesh!V167</f>
        <v>0</v>
      </c>
      <c r="AJ21" s="351">
        <f>payesh!V169</f>
        <v>0</v>
      </c>
      <c r="AK21" s="354">
        <f>payesh!V171</f>
        <v>0</v>
      </c>
    </row>
    <row r="22" spans="2:37" ht="18.75" thickBot="1" x14ac:dyDescent="0.3">
      <c r="B22" s="355">
        <f>payesh!W7</f>
        <v>19</v>
      </c>
      <c r="C22" s="343" t="str">
        <f>payesh!X3</f>
        <v xml:space="preserve">ایلام </v>
      </c>
      <c r="D22" s="343" t="str">
        <f>payesh!W4</f>
        <v>ابدانان</v>
      </c>
      <c r="E22" s="343" t="str">
        <f>payesh!W5</f>
        <v>پشت قلعه</v>
      </c>
      <c r="F22" s="343" t="str">
        <f>payesh!W6</f>
        <v>افق</v>
      </c>
      <c r="G22" s="343" t="str">
        <f>payesh!W10</f>
        <v>کلینیک حضرت زینب</v>
      </c>
      <c r="H22" s="343" t="str">
        <f>payesh!W13</f>
        <v>فرزانه نوروزی</v>
      </c>
      <c r="I22" s="344">
        <f>payesh!W14</f>
        <v>182600826</v>
      </c>
      <c r="J22" s="343" t="str">
        <f>payesh!W9</f>
        <v>ترابی</v>
      </c>
      <c r="K22" s="343" t="str">
        <f>payesh!W18</f>
        <v>پ7</v>
      </c>
      <c r="L22" s="343">
        <f>payesh!W8</f>
        <v>0</v>
      </c>
      <c r="M22" s="343">
        <f>payesh!W46</f>
        <v>29</v>
      </c>
      <c r="N22" s="344">
        <f>payesh!W17</f>
        <v>805645242</v>
      </c>
      <c r="O22" s="344">
        <f>payesh!W16</f>
        <v>1</v>
      </c>
      <c r="P22" s="343" t="str">
        <f>payesh!W19</f>
        <v>زهرا مرادی</v>
      </c>
      <c r="Q22" s="343" t="str">
        <f>payesh!W20</f>
        <v>فاطمه ازادی نسب</v>
      </c>
      <c r="R22" s="343" t="str">
        <f>payesh!W21</f>
        <v>فرشته ایمانی نژاد</v>
      </c>
      <c r="S22" s="343">
        <f>payesh!$W$55</f>
        <v>0</v>
      </c>
      <c r="T22" s="365">
        <f>payesh!W64</f>
        <v>0</v>
      </c>
      <c r="U22" s="343">
        <f>payesh!$W$56</f>
        <v>0</v>
      </c>
      <c r="V22" s="365">
        <f>payesh!W65</f>
        <v>0</v>
      </c>
      <c r="W22" s="343">
        <f>payesh!W78</f>
        <v>0</v>
      </c>
      <c r="X22" s="343">
        <f>payesh!W79</f>
        <v>0</v>
      </c>
      <c r="Y22" s="343">
        <f>payesh!$W$83</f>
        <v>0</v>
      </c>
      <c r="Z22" s="343">
        <f>payesh!$W$84</f>
        <v>0</v>
      </c>
      <c r="AA22" s="343">
        <f>payesh!W86</f>
        <v>0</v>
      </c>
      <c r="AB22" s="343">
        <f>payesh!W153</f>
        <v>0</v>
      </c>
      <c r="AC22" s="343">
        <f>payesh!W155</f>
        <v>0</v>
      </c>
      <c r="AD22" s="343">
        <f>payesh!W157</f>
        <v>0</v>
      </c>
      <c r="AE22" s="343">
        <f>payesh!W159</f>
        <v>0</v>
      </c>
      <c r="AF22" s="343">
        <f>payesh!W161</f>
        <v>0</v>
      </c>
      <c r="AG22" s="343">
        <f>payesh!W163</f>
        <v>0</v>
      </c>
      <c r="AH22" s="343">
        <f>payesh!W165</f>
        <v>0</v>
      </c>
      <c r="AI22" s="343">
        <f>payesh!W167</f>
        <v>0</v>
      </c>
      <c r="AJ22" s="343">
        <f>payesh!W169</f>
        <v>0</v>
      </c>
      <c r="AK22" s="346">
        <f>payesh!W171</f>
        <v>0</v>
      </c>
    </row>
    <row r="23" spans="2:37" ht="18.75" thickBot="1" x14ac:dyDescent="0.3">
      <c r="B23" s="348">
        <f>payesh!X7</f>
        <v>20</v>
      </c>
      <c r="C23" s="351" t="str">
        <f>payesh!X3</f>
        <v xml:space="preserve">ایلام </v>
      </c>
      <c r="D23" s="351" t="str">
        <f>payesh!X4</f>
        <v>ابدانان</v>
      </c>
      <c r="E23" s="351" t="str">
        <f>payesh!X5</f>
        <v>پشت قلعه</v>
      </c>
      <c r="F23" s="351" t="str">
        <f>payesh!X6</f>
        <v>مهتاب</v>
      </c>
      <c r="G23" s="351" t="str">
        <f>payesh!X10</f>
        <v>کلینیک حضرت زینب</v>
      </c>
      <c r="H23" s="351" t="str">
        <f>payesh!X13</f>
        <v>فرزانه نوروزی</v>
      </c>
      <c r="I23" s="352">
        <f>payesh!X14</f>
        <v>9188260826</v>
      </c>
      <c r="J23" s="351" t="str">
        <f>payesh!X9</f>
        <v>ترابی</v>
      </c>
      <c r="K23" s="351" t="str">
        <f>payesh!X18</f>
        <v>ب7</v>
      </c>
      <c r="L23" s="351">
        <f>payesh!X8</f>
        <v>0</v>
      </c>
      <c r="M23" s="351">
        <f>payesh!X46</f>
        <v>29</v>
      </c>
      <c r="N23" s="352">
        <f>payesh!X17</f>
        <v>805675516</v>
      </c>
      <c r="O23" s="352">
        <f>payesh!X16</f>
        <v>1</v>
      </c>
      <c r="P23" s="351" t="str">
        <f>payesh!X19</f>
        <v>عاطفه  اعتمادی</v>
      </c>
      <c r="Q23" s="351" t="str">
        <f>payesh!X20</f>
        <v>امنه سپهوند</v>
      </c>
      <c r="R23" s="351" t="str">
        <f>payesh!X21</f>
        <v>محمد ازادی نسب</v>
      </c>
      <c r="S23" s="351">
        <f>payesh!$X$55</f>
        <v>0</v>
      </c>
      <c r="T23" s="366">
        <f>payesh!X64</f>
        <v>0</v>
      </c>
      <c r="U23" s="351">
        <f>payesh!$X$56</f>
        <v>0</v>
      </c>
      <c r="V23" s="366">
        <f>payesh!X65</f>
        <v>0</v>
      </c>
      <c r="W23" s="351">
        <f>payesh!X78</f>
        <v>0</v>
      </c>
      <c r="X23" s="351">
        <f>payesh!X79</f>
        <v>0</v>
      </c>
      <c r="Y23" s="351">
        <f>payesh!$X$83</f>
        <v>0</v>
      </c>
      <c r="Z23" s="351">
        <f>payesh!$X$84</f>
        <v>0</v>
      </c>
      <c r="AA23" s="351">
        <f>payesh!X86</f>
        <v>0</v>
      </c>
      <c r="AB23" s="351">
        <f>payesh!X153</f>
        <v>0</v>
      </c>
      <c r="AC23" s="351">
        <f>payesh!X155</f>
        <v>0</v>
      </c>
      <c r="AD23" s="351">
        <f>payesh!X157</f>
        <v>0</v>
      </c>
      <c r="AE23" s="351">
        <f>payesh!X159</f>
        <v>0</v>
      </c>
      <c r="AF23" s="351">
        <f>payesh!X161</f>
        <v>0</v>
      </c>
      <c r="AG23" s="351">
        <f>payesh!X163</f>
        <v>0</v>
      </c>
      <c r="AH23" s="351">
        <f>payesh!X165</f>
        <v>0</v>
      </c>
      <c r="AI23" s="351">
        <f>payesh!X167</f>
        <v>0</v>
      </c>
      <c r="AJ23" s="351">
        <f>payesh!X169</f>
        <v>0</v>
      </c>
      <c r="AK23" s="354">
        <f>payesh!X171</f>
        <v>0</v>
      </c>
    </row>
    <row r="24" spans="2:37" ht="18.75" thickBot="1" x14ac:dyDescent="0.3">
      <c r="B24" s="355">
        <f>payesh!Y7</f>
        <v>21</v>
      </c>
      <c r="C24" s="343">
        <f>payesh!Y3</f>
        <v>0</v>
      </c>
      <c r="D24" s="343">
        <f>payesh!Y4</f>
        <v>0</v>
      </c>
      <c r="E24" s="343">
        <f>payesh!Y5</f>
        <v>0</v>
      </c>
      <c r="F24" s="343">
        <f>payesh!Y6</f>
        <v>0</v>
      </c>
      <c r="G24" s="343">
        <f>payesh!Y10</f>
        <v>0</v>
      </c>
      <c r="H24" s="343">
        <f>payesh!Y13</f>
        <v>0</v>
      </c>
      <c r="I24" s="344">
        <f>payesh!Y14</f>
        <v>0</v>
      </c>
      <c r="J24" s="343">
        <f>payesh!Y9</f>
        <v>0</v>
      </c>
      <c r="K24" s="343">
        <f>payesh!Y18</f>
        <v>0</v>
      </c>
      <c r="L24" s="343">
        <f>payesh!Y8</f>
        <v>0</v>
      </c>
      <c r="M24" s="343">
        <f>payesh!Y46</f>
        <v>0</v>
      </c>
      <c r="N24" s="344">
        <f>payesh!Y17</f>
        <v>0</v>
      </c>
      <c r="O24" s="344">
        <f>payesh!Y16</f>
        <v>0</v>
      </c>
      <c r="P24" s="343">
        <f>payesh!Y19</f>
        <v>0</v>
      </c>
      <c r="Q24" s="343">
        <f>payesh!Y20</f>
        <v>0</v>
      </c>
      <c r="R24" s="343">
        <f>payesh!Y21</f>
        <v>0</v>
      </c>
      <c r="S24" s="343">
        <f>payesh!$Y$55</f>
        <v>0</v>
      </c>
      <c r="T24" s="365">
        <f>payesh!Y64</f>
        <v>0</v>
      </c>
      <c r="U24" s="343">
        <f>payesh!$Y$56</f>
        <v>0</v>
      </c>
      <c r="V24" s="365">
        <f>payesh!Y65</f>
        <v>0</v>
      </c>
      <c r="W24" s="343">
        <f>payesh!Y78</f>
        <v>0</v>
      </c>
      <c r="X24" s="343">
        <f>payesh!Y79</f>
        <v>0</v>
      </c>
      <c r="Y24" s="343">
        <f>payesh!$Y$83</f>
        <v>0</v>
      </c>
      <c r="Z24" s="343">
        <f>payesh!$Y$84</f>
        <v>0</v>
      </c>
      <c r="AA24" s="343">
        <f>payesh!Y86</f>
        <v>0</v>
      </c>
      <c r="AB24" s="343">
        <f>payesh!Y153</f>
        <v>0</v>
      </c>
      <c r="AC24" s="343">
        <f>payesh!Y155</f>
        <v>0</v>
      </c>
      <c r="AD24" s="343">
        <f>payesh!Y157</f>
        <v>0</v>
      </c>
      <c r="AE24" s="343">
        <f>payesh!Y159</f>
        <v>0</v>
      </c>
      <c r="AF24" s="343">
        <f>payesh!Y161</f>
        <v>0</v>
      </c>
      <c r="AG24" s="343">
        <f>payesh!Y163</f>
        <v>0</v>
      </c>
      <c r="AH24" s="343">
        <f>payesh!Y165</f>
        <v>0</v>
      </c>
      <c r="AI24" s="343">
        <f>payesh!Y167</f>
        <v>0</v>
      </c>
      <c r="AJ24" s="343">
        <f>payesh!Y169</f>
        <v>0</v>
      </c>
      <c r="AK24" s="346">
        <f>payesh!Y171</f>
        <v>0</v>
      </c>
    </row>
    <row r="25" spans="2:37" ht="18.75" thickBot="1" x14ac:dyDescent="0.3">
      <c r="B25" s="348">
        <f>payesh!Z7</f>
        <v>22</v>
      </c>
      <c r="C25" s="351">
        <f>payesh!Z3</f>
        <v>0</v>
      </c>
      <c r="D25" s="351">
        <f>payesh!Z4</f>
        <v>0</v>
      </c>
      <c r="E25" s="351">
        <f>payesh!Z5</f>
        <v>0</v>
      </c>
      <c r="F25" s="351">
        <f>payesh!Z6</f>
        <v>0</v>
      </c>
      <c r="G25" s="351">
        <f>payesh!Z10</f>
        <v>0</v>
      </c>
      <c r="H25" s="351">
        <f>payesh!Z13</f>
        <v>0</v>
      </c>
      <c r="I25" s="352">
        <f>payesh!Z14</f>
        <v>0</v>
      </c>
      <c r="J25" s="351">
        <f>payesh!Z9</f>
        <v>0</v>
      </c>
      <c r="K25" s="351">
        <f>payesh!Z18</f>
        <v>0</v>
      </c>
      <c r="L25" s="351">
        <f>payesh!Z8</f>
        <v>0</v>
      </c>
      <c r="M25" s="351">
        <f>payesh!Z46</f>
        <v>0</v>
      </c>
      <c r="N25" s="352">
        <f>payesh!Z17</f>
        <v>0</v>
      </c>
      <c r="O25" s="352">
        <f>payesh!Z16</f>
        <v>0</v>
      </c>
      <c r="P25" s="351">
        <f>payesh!Z19</f>
        <v>0</v>
      </c>
      <c r="Q25" s="351">
        <f>payesh!Z20</f>
        <v>0</v>
      </c>
      <c r="R25" s="351">
        <f>payesh!Z21</f>
        <v>0</v>
      </c>
      <c r="S25" s="351">
        <f>payesh!$Z$55</f>
        <v>0</v>
      </c>
      <c r="T25" s="366">
        <f>payesh!Z64</f>
        <v>0</v>
      </c>
      <c r="U25" s="351">
        <f>payesh!$Z$56</f>
        <v>0</v>
      </c>
      <c r="V25" s="366">
        <f>payesh!Z65</f>
        <v>0</v>
      </c>
      <c r="W25" s="351">
        <f>payesh!Z78</f>
        <v>0</v>
      </c>
      <c r="X25" s="351">
        <f>payesh!Z79</f>
        <v>0</v>
      </c>
      <c r="Y25" s="351">
        <f>payesh!$Z$83</f>
        <v>0</v>
      </c>
      <c r="Z25" s="351">
        <f>payesh!$Z$84</f>
        <v>0</v>
      </c>
      <c r="AA25" s="351">
        <f>payesh!Z86</f>
        <v>0</v>
      </c>
      <c r="AB25" s="351">
        <f>payesh!Z153</f>
        <v>0</v>
      </c>
      <c r="AC25" s="351">
        <f>payesh!Z155</f>
        <v>0</v>
      </c>
      <c r="AD25" s="351">
        <f>payesh!Z157</f>
        <v>0</v>
      </c>
      <c r="AE25" s="351">
        <f>payesh!Z159</f>
        <v>0</v>
      </c>
      <c r="AF25" s="351">
        <f>payesh!Z161</f>
        <v>0</v>
      </c>
      <c r="AG25" s="351">
        <f>payesh!Z163</f>
        <v>0</v>
      </c>
      <c r="AH25" s="351">
        <f>payesh!Z165</f>
        <v>0</v>
      </c>
      <c r="AI25" s="351">
        <f>payesh!Z167</f>
        <v>0</v>
      </c>
      <c r="AJ25" s="351">
        <f>payesh!Z169</f>
        <v>0</v>
      </c>
      <c r="AK25" s="354">
        <f>payesh!Z171</f>
        <v>0</v>
      </c>
    </row>
    <row r="26" spans="2:37" ht="18.75" thickBot="1" x14ac:dyDescent="0.3">
      <c r="B26" s="355">
        <f>payesh!AA7</f>
        <v>23</v>
      </c>
      <c r="C26" s="343">
        <f>payesh!AA3</f>
        <v>0</v>
      </c>
      <c r="D26" s="343">
        <f>payesh!AA4</f>
        <v>0</v>
      </c>
      <c r="E26" s="343">
        <f>payesh!AA5</f>
        <v>0</v>
      </c>
      <c r="F26" s="343">
        <f>payesh!AA6</f>
        <v>0</v>
      </c>
      <c r="G26" s="343">
        <f>payesh!AA10</f>
        <v>0</v>
      </c>
      <c r="H26" s="343">
        <f>payesh!AA13</f>
        <v>0</v>
      </c>
      <c r="I26" s="344">
        <f>payesh!AA14</f>
        <v>0</v>
      </c>
      <c r="J26" s="343">
        <f>payesh!AA9</f>
        <v>0</v>
      </c>
      <c r="K26" s="343">
        <f>payesh!AA18</f>
        <v>0</v>
      </c>
      <c r="L26" s="343">
        <f>payesh!AA8</f>
        <v>0</v>
      </c>
      <c r="M26" s="343">
        <f>payesh!AA46</f>
        <v>0</v>
      </c>
      <c r="N26" s="344">
        <f>payesh!AA17</f>
        <v>0</v>
      </c>
      <c r="O26" s="344">
        <f>payesh!AA16</f>
        <v>0</v>
      </c>
      <c r="P26" s="343">
        <f>payesh!AA19</f>
        <v>0</v>
      </c>
      <c r="Q26" s="343">
        <f>payesh!AA20</f>
        <v>0</v>
      </c>
      <c r="R26" s="343">
        <f>payesh!AA21</f>
        <v>0</v>
      </c>
      <c r="S26" s="343">
        <f>payesh!$AA$55</f>
        <v>0</v>
      </c>
      <c r="T26" s="365">
        <f>payesh!AA64</f>
        <v>0</v>
      </c>
      <c r="U26" s="343">
        <f>payesh!$AA$56</f>
        <v>0</v>
      </c>
      <c r="V26" s="365">
        <f>payesh!AA65</f>
        <v>0</v>
      </c>
      <c r="W26" s="343">
        <f>payesh!AA78</f>
        <v>0</v>
      </c>
      <c r="X26" s="343">
        <f>payesh!AA79</f>
        <v>0</v>
      </c>
      <c r="Y26" s="343">
        <f>payesh!$AA$83</f>
        <v>0</v>
      </c>
      <c r="Z26" s="343">
        <f>payesh!$AA$84</f>
        <v>0</v>
      </c>
      <c r="AA26" s="343">
        <f>payesh!AA86</f>
        <v>0</v>
      </c>
      <c r="AB26" s="343">
        <f>payesh!AA153</f>
        <v>0</v>
      </c>
      <c r="AC26" s="343">
        <f>payesh!AA155</f>
        <v>0</v>
      </c>
      <c r="AD26" s="343">
        <f>payesh!AA157</f>
        <v>0</v>
      </c>
      <c r="AE26" s="343">
        <f>payesh!AA159</f>
        <v>0</v>
      </c>
      <c r="AF26" s="343">
        <f>payesh!AA161</f>
        <v>0</v>
      </c>
      <c r="AG26" s="343">
        <f>payesh!AA163</f>
        <v>0</v>
      </c>
      <c r="AH26" s="343">
        <f>payesh!AA165</f>
        <v>0</v>
      </c>
      <c r="AI26" s="343">
        <f>payesh!AA167</f>
        <v>0</v>
      </c>
      <c r="AJ26" s="343">
        <f>payesh!AA169</f>
        <v>0</v>
      </c>
      <c r="AK26" s="346">
        <f>payesh!AA171</f>
        <v>0</v>
      </c>
    </row>
    <row r="27" spans="2:37" ht="18.75" thickBot="1" x14ac:dyDescent="0.3">
      <c r="B27" s="348">
        <f>payesh!AB7</f>
        <v>24</v>
      </c>
      <c r="C27" s="351">
        <f>payesh!AB3</f>
        <v>0</v>
      </c>
      <c r="D27" s="351">
        <f>payesh!AB4</f>
        <v>0</v>
      </c>
      <c r="E27" s="351">
        <f>payesh!AB5</f>
        <v>0</v>
      </c>
      <c r="F27" s="351">
        <f>payesh!AB6</f>
        <v>0</v>
      </c>
      <c r="G27" s="351">
        <f>payesh!AB10</f>
        <v>0</v>
      </c>
      <c r="H27" s="351">
        <f>payesh!AB13</f>
        <v>0</v>
      </c>
      <c r="I27" s="352">
        <f>payesh!AB14</f>
        <v>0</v>
      </c>
      <c r="J27" s="351">
        <f>payesh!AB9</f>
        <v>0</v>
      </c>
      <c r="K27" s="351">
        <f>payesh!AB18</f>
        <v>0</v>
      </c>
      <c r="L27" s="351">
        <f>payesh!AB8</f>
        <v>0</v>
      </c>
      <c r="M27" s="351">
        <f>payesh!AB46</f>
        <v>0</v>
      </c>
      <c r="N27" s="352">
        <f>payesh!AB17</f>
        <v>0</v>
      </c>
      <c r="O27" s="352">
        <f>payesh!AB16</f>
        <v>0</v>
      </c>
      <c r="P27" s="351">
        <f>payesh!AB19</f>
        <v>0</v>
      </c>
      <c r="Q27" s="351">
        <f>payesh!AB20</f>
        <v>0</v>
      </c>
      <c r="R27" s="351">
        <f>payesh!AB21</f>
        <v>0</v>
      </c>
      <c r="S27" s="351">
        <f>payesh!$AB$55</f>
        <v>0</v>
      </c>
      <c r="T27" s="366">
        <f>payesh!AB64</f>
        <v>0</v>
      </c>
      <c r="U27" s="351">
        <f>payesh!$AB$56</f>
        <v>0</v>
      </c>
      <c r="V27" s="366">
        <f>payesh!AB65</f>
        <v>0</v>
      </c>
      <c r="W27" s="351">
        <f>payesh!AB78</f>
        <v>0</v>
      </c>
      <c r="X27" s="351">
        <f>payesh!AB79</f>
        <v>0</v>
      </c>
      <c r="Y27" s="351">
        <f>payesh!$AB$83</f>
        <v>0</v>
      </c>
      <c r="Z27" s="351">
        <f>payesh!$AB$84</f>
        <v>0</v>
      </c>
      <c r="AA27" s="351">
        <f>payesh!AB86</f>
        <v>0</v>
      </c>
      <c r="AB27" s="351">
        <f>payesh!AB153</f>
        <v>0</v>
      </c>
      <c r="AC27" s="351">
        <f>payesh!AB155</f>
        <v>0</v>
      </c>
      <c r="AD27" s="351">
        <f>payesh!AB157</f>
        <v>0</v>
      </c>
      <c r="AE27" s="351">
        <f>payesh!AB159</f>
        <v>0</v>
      </c>
      <c r="AF27" s="351">
        <f>payesh!AB161</f>
        <v>0</v>
      </c>
      <c r="AG27" s="351">
        <f>payesh!AB163</f>
        <v>0</v>
      </c>
      <c r="AH27" s="351">
        <f>payesh!AB165</f>
        <v>0</v>
      </c>
      <c r="AI27" s="351">
        <f>payesh!AB167</f>
        <v>0</v>
      </c>
      <c r="AJ27" s="351">
        <f>payesh!AB169</f>
        <v>0</v>
      </c>
      <c r="AK27" s="354">
        <f>payesh!AB171</f>
        <v>0</v>
      </c>
    </row>
    <row r="28" spans="2:37" ht="18.75" thickBot="1" x14ac:dyDescent="0.3">
      <c r="B28" s="355">
        <f>payesh!AC7</f>
        <v>25</v>
      </c>
      <c r="C28" s="343">
        <f>payesh!AC3</f>
        <v>0</v>
      </c>
      <c r="D28" s="343">
        <f>payesh!AC4</f>
        <v>0</v>
      </c>
      <c r="E28" s="343">
        <f>payesh!AC5</f>
        <v>0</v>
      </c>
      <c r="F28" s="343">
        <f>payesh!AC6</f>
        <v>0</v>
      </c>
      <c r="G28" s="343">
        <f>payesh!AC10</f>
        <v>0</v>
      </c>
      <c r="H28" s="343">
        <f>payesh!AC13</f>
        <v>0</v>
      </c>
      <c r="I28" s="344">
        <f>payesh!AC14</f>
        <v>0</v>
      </c>
      <c r="J28" s="343">
        <f>payesh!AC9</f>
        <v>0</v>
      </c>
      <c r="K28" s="343">
        <f>payesh!AC18</f>
        <v>0</v>
      </c>
      <c r="L28" s="343">
        <f>payesh!AC8</f>
        <v>0</v>
      </c>
      <c r="M28" s="343">
        <f>payesh!AC46</f>
        <v>0</v>
      </c>
      <c r="N28" s="344">
        <f>payesh!AC17</f>
        <v>0</v>
      </c>
      <c r="O28" s="344">
        <f>payesh!AC16</f>
        <v>0</v>
      </c>
      <c r="P28" s="343">
        <f>payesh!AC19</f>
        <v>0</v>
      </c>
      <c r="Q28" s="343">
        <f>payesh!AC20</f>
        <v>0</v>
      </c>
      <c r="R28" s="343">
        <f>payesh!AC21</f>
        <v>0</v>
      </c>
      <c r="S28" s="343">
        <f>payesh!$AC$55</f>
        <v>0</v>
      </c>
      <c r="T28" s="365">
        <f>payesh!AC64</f>
        <v>0</v>
      </c>
      <c r="U28" s="343">
        <f>payesh!$AC$56</f>
        <v>0</v>
      </c>
      <c r="V28" s="365">
        <f>payesh!AC65</f>
        <v>0</v>
      </c>
      <c r="W28" s="343">
        <f>payesh!AC78</f>
        <v>0</v>
      </c>
      <c r="X28" s="343">
        <f>payesh!AC79</f>
        <v>0</v>
      </c>
      <c r="Y28" s="343">
        <f>payesh!$AC$83</f>
        <v>0</v>
      </c>
      <c r="Z28" s="343">
        <f>payesh!$AC$84</f>
        <v>0</v>
      </c>
      <c r="AA28" s="343">
        <f>payesh!AC86</f>
        <v>0</v>
      </c>
      <c r="AB28" s="343">
        <f>payesh!AC153</f>
        <v>0</v>
      </c>
      <c r="AC28" s="343">
        <f>payesh!AC155</f>
        <v>0</v>
      </c>
      <c r="AD28" s="343">
        <f>payesh!AC157</f>
        <v>0</v>
      </c>
      <c r="AE28" s="343">
        <f>payesh!AC159</f>
        <v>0</v>
      </c>
      <c r="AF28" s="343">
        <f>payesh!AC161</f>
        <v>0</v>
      </c>
      <c r="AG28" s="343">
        <f>payesh!AC163</f>
        <v>0</v>
      </c>
      <c r="AH28" s="343">
        <f>payesh!AC165</f>
        <v>0</v>
      </c>
      <c r="AI28" s="343">
        <f>payesh!AC167</f>
        <v>0</v>
      </c>
      <c r="AJ28" s="343">
        <f>payesh!AC169</f>
        <v>0</v>
      </c>
      <c r="AK28" s="346">
        <f>payesh!AC171</f>
        <v>0</v>
      </c>
    </row>
    <row r="29" spans="2:37" ht="18.75" thickBot="1" x14ac:dyDescent="0.3">
      <c r="B29" s="348">
        <f>payesh!AD7</f>
        <v>26</v>
      </c>
      <c r="C29" s="351">
        <f>payesh!AD3</f>
        <v>0</v>
      </c>
      <c r="D29" s="351">
        <f>payesh!AD4</f>
        <v>0</v>
      </c>
      <c r="E29" s="351">
        <f>payesh!AD5</f>
        <v>0</v>
      </c>
      <c r="F29" s="351">
        <f>payesh!AD6</f>
        <v>0</v>
      </c>
      <c r="G29" s="351">
        <f>payesh!AD10</f>
        <v>0</v>
      </c>
      <c r="H29" s="351">
        <f>payesh!AD13</f>
        <v>0</v>
      </c>
      <c r="I29" s="352">
        <f>payesh!AD14</f>
        <v>0</v>
      </c>
      <c r="J29" s="351">
        <f>payesh!AD9</f>
        <v>0</v>
      </c>
      <c r="K29" s="351">
        <f>payesh!AD18</f>
        <v>0</v>
      </c>
      <c r="L29" s="351">
        <f>payesh!AD8</f>
        <v>0</v>
      </c>
      <c r="M29" s="351">
        <f>payesh!AD46</f>
        <v>0</v>
      </c>
      <c r="N29" s="352">
        <f>payesh!AD17</f>
        <v>0</v>
      </c>
      <c r="O29" s="352">
        <f>payesh!AD16</f>
        <v>0</v>
      </c>
      <c r="P29" s="351">
        <f>payesh!AD19</f>
        <v>0</v>
      </c>
      <c r="Q29" s="351">
        <f>payesh!AD20</f>
        <v>0</v>
      </c>
      <c r="R29" s="351">
        <f>payesh!AD21</f>
        <v>0</v>
      </c>
      <c r="S29" s="351">
        <f>payesh!$AD$55</f>
        <v>0</v>
      </c>
      <c r="T29" s="366">
        <f>payesh!AD64</f>
        <v>0</v>
      </c>
      <c r="U29" s="351">
        <f>payesh!$AD$56</f>
        <v>0</v>
      </c>
      <c r="V29" s="366">
        <f>payesh!AD65</f>
        <v>0</v>
      </c>
      <c r="W29" s="351">
        <f>payesh!AD78</f>
        <v>0</v>
      </c>
      <c r="X29" s="351">
        <f>payesh!AD79</f>
        <v>0</v>
      </c>
      <c r="Y29" s="351">
        <f>payesh!$AD$83</f>
        <v>0</v>
      </c>
      <c r="Z29" s="351">
        <f>payesh!$AD$84</f>
        <v>0</v>
      </c>
      <c r="AA29" s="351">
        <f>payesh!AD86</f>
        <v>0</v>
      </c>
      <c r="AB29" s="351">
        <f>payesh!AD153</f>
        <v>0</v>
      </c>
      <c r="AC29" s="351">
        <f>payesh!AD155</f>
        <v>0</v>
      </c>
      <c r="AD29" s="351">
        <f>payesh!AD157</f>
        <v>0</v>
      </c>
      <c r="AE29" s="351">
        <f>payesh!AD159</f>
        <v>0</v>
      </c>
      <c r="AF29" s="351">
        <f>payesh!AD161</f>
        <v>0</v>
      </c>
      <c r="AG29" s="351">
        <f>payesh!AD163</f>
        <v>0</v>
      </c>
      <c r="AH29" s="351">
        <f>payesh!AD165</f>
        <v>0</v>
      </c>
      <c r="AI29" s="351">
        <f>payesh!AD167</f>
        <v>0</v>
      </c>
      <c r="AJ29" s="351">
        <f>payesh!AD169</f>
        <v>0</v>
      </c>
      <c r="AK29" s="354">
        <f>payesh!AD171</f>
        <v>0</v>
      </c>
    </row>
    <row r="30" spans="2:37" ht="18.75" thickBot="1" x14ac:dyDescent="0.3">
      <c r="B30" s="355">
        <f>payesh!AE7</f>
        <v>27</v>
      </c>
      <c r="C30" s="343">
        <f>payesh!AE3</f>
        <v>0</v>
      </c>
      <c r="D30" s="343">
        <f>payesh!AE4</f>
        <v>0</v>
      </c>
      <c r="E30" s="343">
        <f>payesh!AE5</f>
        <v>0</v>
      </c>
      <c r="F30" s="343">
        <f>payesh!AE6</f>
        <v>0</v>
      </c>
      <c r="G30" s="343">
        <f>payesh!AE10</f>
        <v>0</v>
      </c>
      <c r="H30" s="343">
        <f>payesh!AE13</f>
        <v>0</v>
      </c>
      <c r="I30" s="344">
        <f>payesh!AE14</f>
        <v>0</v>
      </c>
      <c r="J30" s="343">
        <f>payesh!AE9</f>
        <v>0</v>
      </c>
      <c r="K30" s="343">
        <f>payesh!AE18</f>
        <v>0</v>
      </c>
      <c r="L30" s="343">
        <f>payesh!AE8</f>
        <v>0</v>
      </c>
      <c r="M30" s="343">
        <f>payesh!AE46</f>
        <v>0</v>
      </c>
      <c r="N30" s="344">
        <f>payesh!AE17</f>
        <v>0</v>
      </c>
      <c r="O30" s="344">
        <f>payesh!AE16</f>
        <v>0</v>
      </c>
      <c r="P30" s="343">
        <f>payesh!AE19</f>
        <v>0</v>
      </c>
      <c r="Q30" s="343">
        <f>payesh!AE20</f>
        <v>0</v>
      </c>
      <c r="R30" s="343">
        <f>payesh!AE21</f>
        <v>0</v>
      </c>
      <c r="S30" s="343">
        <f>payesh!$AE$55</f>
        <v>0</v>
      </c>
      <c r="T30" s="365">
        <f>payesh!AE64</f>
        <v>0</v>
      </c>
      <c r="U30" s="343">
        <f>payesh!$AE$56</f>
        <v>0</v>
      </c>
      <c r="V30" s="365">
        <f>payesh!AE65</f>
        <v>0</v>
      </c>
      <c r="W30" s="343">
        <f>payesh!AE78</f>
        <v>0</v>
      </c>
      <c r="X30" s="343">
        <f>payesh!AE79</f>
        <v>0</v>
      </c>
      <c r="Y30" s="343">
        <f>payesh!$AE$83</f>
        <v>0</v>
      </c>
      <c r="Z30" s="343">
        <f>payesh!$AE$84</f>
        <v>0</v>
      </c>
      <c r="AA30" s="343">
        <f>payesh!AE86</f>
        <v>0</v>
      </c>
      <c r="AB30" s="343">
        <f>payesh!AE153</f>
        <v>0</v>
      </c>
      <c r="AC30" s="343">
        <f>payesh!AE155</f>
        <v>0</v>
      </c>
      <c r="AD30" s="343">
        <f>payesh!AE157</f>
        <v>0</v>
      </c>
      <c r="AE30" s="343">
        <f>payesh!AE159</f>
        <v>0</v>
      </c>
      <c r="AF30" s="343">
        <f>payesh!AE161</f>
        <v>0</v>
      </c>
      <c r="AG30" s="343">
        <f>payesh!AE163</f>
        <v>0</v>
      </c>
      <c r="AH30" s="343">
        <f>payesh!AE165</f>
        <v>0</v>
      </c>
      <c r="AI30" s="343">
        <f>payesh!AE167</f>
        <v>0</v>
      </c>
      <c r="AJ30" s="343">
        <f>payesh!AE169</f>
        <v>0</v>
      </c>
      <c r="AK30" s="346">
        <f>payesh!AE171</f>
        <v>0</v>
      </c>
    </row>
    <row r="31" spans="2:37" ht="18.75" thickBot="1" x14ac:dyDescent="0.3">
      <c r="B31" s="348">
        <f>payesh!AF7</f>
        <v>28</v>
      </c>
      <c r="C31" s="351">
        <f>payesh!AF3</f>
        <v>0</v>
      </c>
      <c r="D31" s="351">
        <f>payesh!AF4</f>
        <v>0</v>
      </c>
      <c r="E31" s="351">
        <f>payesh!AF5</f>
        <v>0</v>
      </c>
      <c r="F31" s="351">
        <f>payesh!AF6</f>
        <v>0</v>
      </c>
      <c r="G31" s="351">
        <f>payesh!AF10</f>
        <v>0</v>
      </c>
      <c r="H31" s="351">
        <f>payesh!AF13</f>
        <v>0</v>
      </c>
      <c r="I31" s="352">
        <f>payesh!AF14</f>
        <v>0</v>
      </c>
      <c r="J31" s="351">
        <f>payesh!AF9</f>
        <v>0</v>
      </c>
      <c r="K31" s="351">
        <f>payesh!AF18</f>
        <v>0</v>
      </c>
      <c r="L31" s="351">
        <f>payesh!AF8</f>
        <v>0</v>
      </c>
      <c r="M31" s="351">
        <f>payesh!AF46</f>
        <v>0</v>
      </c>
      <c r="N31" s="352">
        <f>payesh!AF17</f>
        <v>0</v>
      </c>
      <c r="O31" s="352">
        <f>payesh!AF16</f>
        <v>0</v>
      </c>
      <c r="P31" s="351">
        <f>payesh!AF19</f>
        <v>0</v>
      </c>
      <c r="Q31" s="351">
        <f>payesh!AF20</f>
        <v>0</v>
      </c>
      <c r="R31" s="351">
        <f>payesh!AF21</f>
        <v>0</v>
      </c>
      <c r="S31" s="351">
        <f>payesh!$AF$55</f>
        <v>0</v>
      </c>
      <c r="T31" s="366">
        <f>payesh!AF64</f>
        <v>0</v>
      </c>
      <c r="U31" s="351">
        <f>payesh!$AF$56</f>
        <v>0</v>
      </c>
      <c r="V31" s="366">
        <f>payesh!AF65</f>
        <v>0</v>
      </c>
      <c r="W31" s="351">
        <f>payesh!AF78</f>
        <v>0</v>
      </c>
      <c r="X31" s="351">
        <f>payesh!AF79</f>
        <v>0</v>
      </c>
      <c r="Y31" s="351">
        <f>payesh!$AF$83</f>
        <v>0</v>
      </c>
      <c r="Z31" s="351">
        <f>payesh!$AF$84</f>
        <v>0</v>
      </c>
      <c r="AA31" s="351">
        <f>payesh!AF86</f>
        <v>0</v>
      </c>
      <c r="AB31" s="351">
        <f>payesh!AF153</f>
        <v>0</v>
      </c>
      <c r="AC31" s="351">
        <f>payesh!AF155</f>
        <v>0</v>
      </c>
      <c r="AD31" s="351">
        <f>payesh!AF157</f>
        <v>0</v>
      </c>
      <c r="AE31" s="351">
        <f>payesh!AF159</f>
        <v>0</v>
      </c>
      <c r="AF31" s="351">
        <f>payesh!AF161</f>
        <v>0</v>
      </c>
      <c r="AG31" s="351">
        <f>payesh!AF163</f>
        <v>0</v>
      </c>
      <c r="AH31" s="351">
        <f>payesh!AF165</f>
        <v>0</v>
      </c>
      <c r="AI31" s="351">
        <f>payesh!AF167</f>
        <v>0</v>
      </c>
      <c r="AJ31" s="351">
        <f>payesh!AF169</f>
        <v>0</v>
      </c>
      <c r="AK31" s="354">
        <f>payesh!AF171</f>
        <v>0</v>
      </c>
    </row>
    <row r="32" spans="2:37" ht="18.75" thickBot="1" x14ac:dyDescent="0.3">
      <c r="B32" s="355">
        <f>payesh!AG7</f>
        <v>29</v>
      </c>
      <c r="C32" s="343">
        <f>payesh!AG3</f>
        <v>0</v>
      </c>
      <c r="D32" s="343">
        <f>payesh!AG4</f>
        <v>0</v>
      </c>
      <c r="E32" s="343">
        <f>payesh!AG5</f>
        <v>0</v>
      </c>
      <c r="F32" s="343">
        <f>payesh!AG6</f>
        <v>0</v>
      </c>
      <c r="G32" s="343">
        <f>payesh!AG10</f>
        <v>0</v>
      </c>
      <c r="H32" s="343">
        <f>payesh!AG13</f>
        <v>0</v>
      </c>
      <c r="I32" s="344">
        <f>payesh!AG14</f>
        <v>0</v>
      </c>
      <c r="J32" s="343">
        <f>payesh!AG9</f>
        <v>0</v>
      </c>
      <c r="K32" s="343">
        <f>payesh!AG18</f>
        <v>0</v>
      </c>
      <c r="L32" s="343">
        <f>payesh!AG8</f>
        <v>0</v>
      </c>
      <c r="M32" s="343">
        <f>payesh!AG46</f>
        <v>0</v>
      </c>
      <c r="N32" s="344">
        <f>payesh!AG17</f>
        <v>0</v>
      </c>
      <c r="O32" s="344">
        <f>payesh!AG16</f>
        <v>0</v>
      </c>
      <c r="P32" s="343">
        <f>payesh!AG19</f>
        <v>0</v>
      </c>
      <c r="Q32" s="343">
        <f>payesh!AG20</f>
        <v>0</v>
      </c>
      <c r="R32" s="343">
        <f>payesh!AG21</f>
        <v>0</v>
      </c>
      <c r="S32" s="343">
        <f>payesh!$AG$55</f>
        <v>0</v>
      </c>
      <c r="T32" s="365">
        <f>payesh!AG64</f>
        <v>0</v>
      </c>
      <c r="U32" s="343">
        <f>payesh!$AG$56</f>
        <v>0</v>
      </c>
      <c r="V32" s="365">
        <f>payesh!AG65</f>
        <v>0</v>
      </c>
      <c r="W32" s="343">
        <f>payesh!AG78</f>
        <v>0</v>
      </c>
      <c r="X32" s="343">
        <f>payesh!AG79</f>
        <v>0</v>
      </c>
      <c r="Y32" s="343">
        <f>payesh!$AG$83</f>
        <v>0</v>
      </c>
      <c r="Z32" s="343">
        <f>payesh!$AG$84</f>
        <v>0</v>
      </c>
      <c r="AA32" s="343">
        <f>payesh!AG86</f>
        <v>0</v>
      </c>
      <c r="AB32" s="343">
        <f>payesh!AG153</f>
        <v>0</v>
      </c>
      <c r="AC32" s="343">
        <f>payesh!AG155</f>
        <v>0</v>
      </c>
      <c r="AD32" s="343">
        <f>payesh!AG157</f>
        <v>0</v>
      </c>
      <c r="AE32" s="343">
        <f>payesh!AG159</f>
        <v>0</v>
      </c>
      <c r="AF32" s="343">
        <f>payesh!AG161</f>
        <v>0</v>
      </c>
      <c r="AG32" s="343">
        <f>payesh!AG163</f>
        <v>0</v>
      </c>
      <c r="AH32" s="343">
        <f>payesh!AG165</f>
        <v>0</v>
      </c>
      <c r="AI32" s="343">
        <f>payesh!AG167</f>
        <v>0</v>
      </c>
      <c r="AJ32" s="343">
        <f>payesh!AG169</f>
        <v>0</v>
      </c>
      <c r="AK32" s="346">
        <f>payesh!AG171</f>
        <v>0</v>
      </c>
    </row>
    <row r="33" spans="2:37" ht="18.75" thickBot="1" x14ac:dyDescent="0.3">
      <c r="B33" s="348">
        <f>payesh!AH7</f>
        <v>30</v>
      </c>
      <c r="C33" s="351">
        <f>payesh!AH3</f>
        <v>0</v>
      </c>
      <c r="D33" s="351">
        <f>payesh!AH4</f>
        <v>0</v>
      </c>
      <c r="E33" s="351">
        <f>payesh!AH5</f>
        <v>0</v>
      </c>
      <c r="F33" s="351">
        <f>payesh!AH6</f>
        <v>0</v>
      </c>
      <c r="G33" s="351">
        <f>payesh!AH10</f>
        <v>0</v>
      </c>
      <c r="H33" s="351">
        <f>payesh!AH13</f>
        <v>0</v>
      </c>
      <c r="I33" s="352">
        <f>payesh!AH14</f>
        <v>0</v>
      </c>
      <c r="J33" s="351">
        <f>payesh!AH9</f>
        <v>0</v>
      </c>
      <c r="K33" s="351">
        <f>payesh!AH18</f>
        <v>0</v>
      </c>
      <c r="L33" s="351">
        <f>payesh!AH8</f>
        <v>0</v>
      </c>
      <c r="M33" s="351">
        <f>payesh!AH46</f>
        <v>0</v>
      </c>
      <c r="N33" s="352">
        <f>payesh!AH17</f>
        <v>0</v>
      </c>
      <c r="O33" s="352">
        <f>payesh!AH16</f>
        <v>0</v>
      </c>
      <c r="P33" s="351">
        <f>payesh!AH19</f>
        <v>0</v>
      </c>
      <c r="Q33" s="351">
        <f>payesh!AH20</f>
        <v>0</v>
      </c>
      <c r="R33" s="351">
        <f>payesh!AH21</f>
        <v>0</v>
      </c>
      <c r="S33" s="351">
        <f>payesh!$AH$55</f>
        <v>0</v>
      </c>
      <c r="T33" s="366">
        <f>payesh!AH64</f>
        <v>0</v>
      </c>
      <c r="U33" s="351">
        <f>payesh!$AH$56</f>
        <v>0</v>
      </c>
      <c r="V33" s="366">
        <f>payesh!AH65</f>
        <v>0</v>
      </c>
      <c r="W33" s="351">
        <f>payesh!AH78</f>
        <v>0</v>
      </c>
      <c r="X33" s="351">
        <f>payesh!AH79</f>
        <v>0</v>
      </c>
      <c r="Y33" s="351">
        <f>payesh!$AH$83</f>
        <v>0</v>
      </c>
      <c r="Z33" s="351">
        <f>payesh!$AH$84</f>
        <v>0</v>
      </c>
      <c r="AA33" s="351">
        <f>payesh!AH86</f>
        <v>0</v>
      </c>
      <c r="AB33" s="351">
        <f>payesh!AH153</f>
        <v>0</v>
      </c>
      <c r="AC33" s="351">
        <f>payesh!AH155</f>
        <v>0</v>
      </c>
      <c r="AD33" s="351">
        <f>payesh!AH157</f>
        <v>0</v>
      </c>
      <c r="AE33" s="351">
        <f>payesh!AH159</f>
        <v>0</v>
      </c>
      <c r="AF33" s="351">
        <f>payesh!AH161</f>
        <v>0</v>
      </c>
      <c r="AG33" s="351">
        <f>payesh!AH163</f>
        <v>0</v>
      </c>
      <c r="AH33" s="351">
        <f>payesh!AH165</f>
        <v>0</v>
      </c>
      <c r="AI33" s="351">
        <f>payesh!AH167</f>
        <v>0</v>
      </c>
      <c r="AJ33" s="351">
        <f>payesh!AH169</f>
        <v>0</v>
      </c>
      <c r="AK33" s="354">
        <f>payesh!AH171</f>
        <v>0</v>
      </c>
    </row>
    <row r="34" spans="2:37" ht="18.75" thickBot="1" x14ac:dyDescent="0.3">
      <c r="B34" s="355">
        <f>payesh!AI7</f>
        <v>31</v>
      </c>
      <c r="C34" s="343">
        <f>payesh!AI3</f>
        <v>0</v>
      </c>
      <c r="D34" s="343">
        <f>payesh!AI4</f>
        <v>0</v>
      </c>
      <c r="E34" s="343">
        <f>payesh!AI5</f>
        <v>0</v>
      </c>
      <c r="F34" s="343">
        <f>payesh!AI6</f>
        <v>0</v>
      </c>
      <c r="G34" s="343">
        <f>payesh!AI10</f>
        <v>0</v>
      </c>
      <c r="H34" s="343">
        <f>payesh!AI13</f>
        <v>0</v>
      </c>
      <c r="I34" s="344">
        <f>payesh!AI14</f>
        <v>0</v>
      </c>
      <c r="J34" s="343">
        <f>payesh!AI9</f>
        <v>0</v>
      </c>
      <c r="K34" s="343">
        <f>payesh!AI18</f>
        <v>0</v>
      </c>
      <c r="L34" s="343">
        <f>payesh!AI8</f>
        <v>0</v>
      </c>
      <c r="M34" s="343">
        <f>payesh!AI46</f>
        <v>0</v>
      </c>
      <c r="N34" s="344">
        <f>payesh!AI17</f>
        <v>0</v>
      </c>
      <c r="O34" s="344">
        <f>payesh!AI16</f>
        <v>0</v>
      </c>
      <c r="P34" s="343">
        <f>payesh!AI19</f>
        <v>0</v>
      </c>
      <c r="Q34" s="343">
        <f>payesh!AI20</f>
        <v>0</v>
      </c>
      <c r="R34" s="343">
        <f>payesh!AI21</f>
        <v>0</v>
      </c>
      <c r="S34" s="343">
        <f>payesh!$AI$55</f>
        <v>0</v>
      </c>
      <c r="T34" s="365">
        <f>payesh!AI64</f>
        <v>0</v>
      </c>
      <c r="U34" s="343">
        <f>payesh!$AI$56</f>
        <v>0</v>
      </c>
      <c r="V34" s="365">
        <f>payesh!AI65</f>
        <v>0</v>
      </c>
      <c r="W34" s="343">
        <f>payesh!AI78</f>
        <v>0</v>
      </c>
      <c r="X34" s="343">
        <f>payesh!AI79</f>
        <v>0</v>
      </c>
      <c r="Y34" s="343">
        <f>payesh!$AI$83</f>
        <v>0</v>
      </c>
      <c r="Z34" s="343">
        <f>payesh!$AI$84</f>
        <v>0</v>
      </c>
      <c r="AA34" s="343">
        <f>payesh!AI86</f>
        <v>0</v>
      </c>
      <c r="AB34" s="343">
        <f>payesh!AI153</f>
        <v>0</v>
      </c>
      <c r="AC34" s="343">
        <f>payesh!AI155</f>
        <v>0</v>
      </c>
      <c r="AD34" s="343">
        <f>payesh!AI157</f>
        <v>0</v>
      </c>
      <c r="AE34" s="343">
        <f>payesh!AI159</f>
        <v>0</v>
      </c>
      <c r="AF34" s="343">
        <f>payesh!AI161</f>
        <v>0</v>
      </c>
      <c r="AG34" s="343">
        <f>payesh!AI163</f>
        <v>0</v>
      </c>
      <c r="AH34" s="343">
        <f>payesh!AI165</f>
        <v>0</v>
      </c>
      <c r="AI34" s="343">
        <f>payesh!AI167</f>
        <v>0</v>
      </c>
      <c r="AJ34" s="343">
        <f>payesh!AI169</f>
        <v>0</v>
      </c>
      <c r="AK34" s="346">
        <f>payesh!AI171</f>
        <v>0</v>
      </c>
    </row>
    <row r="35" spans="2:37" ht="18.75" thickBot="1" x14ac:dyDescent="0.3">
      <c r="B35" s="348">
        <f>payesh!AJ7</f>
        <v>32</v>
      </c>
      <c r="C35" s="351">
        <f>payesh!AJ3</f>
        <v>0</v>
      </c>
      <c r="D35" s="351">
        <f>payesh!AJ4</f>
        <v>0</v>
      </c>
      <c r="E35" s="351">
        <f>payesh!AJ5</f>
        <v>0</v>
      </c>
      <c r="F35" s="351">
        <f>payesh!AJ6</f>
        <v>0</v>
      </c>
      <c r="G35" s="351">
        <f>payesh!AJ10</f>
        <v>0</v>
      </c>
      <c r="H35" s="351">
        <f>payesh!AJ13</f>
        <v>0</v>
      </c>
      <c r="I35" s="352">
        <f>payesh!AJ14</f>
        <v>0</v>
      </c>
      <c r="J35" s="351">
        <f>payesh!AJ9</f>
        <v>0</v>
      </c>
      <c r="K35" s="351">
        <f>payesh!AJ18</f>
        <v>0</v>
      </c>
      <c r="L35" s="351">
        <f>payesh!AJ8</f>
        <v>0</v>
      </c>
      <c r="M35" s="351">
        <f>payesh!AJ46</f>
        <v>0</v>
      </c>
      <c r="N35" s="352">
        <f>payesh!AJ17</f>
        <v>0</v>
      </c>
      <c r="O35" s="352">
        <f>payesh!AJ16</f>
        <v>0</v>
      </c>
      <c r="P35" s="351">
        <f>payesh!AJ19</f>
        <v>0</v>
      </c>
      <c r="Q35" s="351">
        <f>payesh!AJ20</f>
        <v>0</v>
      </c>
      <c r="R35" s="351">
        <f>payesh!AJ21</f>
        <v>0</v>
      </c>
      <c r="S35" s="351">
        <f>payesh!$AJ$55</f>
        <v>0</v>
      </c>
      <c r="T35" s="366">
        <f>payesh!AJ64</f>
        <v>0</v>
      </c>
      <c r="U35" s="351">
        <f>payesh!$AJ$56</f>
        <v>0</v>
      </c>
      <c r="V35" s="351">
        <f>payesh!AJ65</f>
        <v>0</v>
      </c>
      <c r="W35" s="351">
        <f>payesh!AJ78</f>
        <v>0</v>
      </c>
      <c r="X35" s="351">
        <f>payesh!AJ79</f>
        <v>0</v>
      </c>
      <c r="Y35" s="351">
        <f>payesh!$AJ$83</f>
        <v>0</v>
      </c>
      <c r="Z35" s="351">
        <f>payesh!$AJ$84</f>
        <v>0</v>
      </c>
      <c r="AA35" s="351">
        <f>payesh!AJ86</f>
        <v>0</v>
      </c>
      <c r="AB35" s="351">
        <f>payesh!AJ153</f>
        <v>0</v>
      </c>
      <c r="AC35" s="351">
        <f>payesh!AJ155</f>
        <v>0</v>
      </c>
      <c r="AD35" s="351">
        <f>payesh!AJ157</f>
        <v>0</v>
      </c>
      <c r="AE35" s="351">
        <f>payesh!AJ159</f>
        <v>0</v>
      </c>
      <c r="AF35" s="351">
        <f>payesh!AJ161</f>
        <v>0</v>
      </c>
      <c r="AG35" s="351">
        <f>payesh!AJ163</f>
        <v>0</v>
      </c>
      <c r="AH35" s="351">
        <f>payesh!AJ165</f>
        <v>0</v>
      </c>
      <c r="AI35" s="351">
        <f>payesh!AJ167</f>
        <v>0</v>
      </c>
      <c r="AJ35" s="351">
        <f>payesh!AJ169</f>
        <v>0</v>
      </c>
      <c r="AK35" s="354">
        <f>payesh!AJ171</f>
        <v>0</v>
      </c>
    </row>
    <row r="36" spans="2:37" ht="18.75" thickBot="1" x14ac:dyDescent="0.3">
      <c r="B36" s="355">
        <f>payesh!AK7</f>
        <v>33</v>
      </c>
      <c r="C36" s="343">
        <f>payesh!AK3</f>
        <v>0</v>
      </c>
      <c r="D36" s="343">
        <f>payesh!AK4</f>
        <v>0</v>
      </c>
      <c r="E36" s="343">
        <f>payesh!AK5</f>
        <v>0</v>
      </c>
      <c r="F36" s="343">
        <f>payesh!AK6</f>
        <v>0</v>
      </c>
      <c r="G36" s="343">
        <f>payesh!AK10</f>
        <v>0</v>
      </c>
      <c r="H36" s="343">
        <f>payesh!AK13</f>
        <v>0</v>
      </c>
      <c r="I36" s="344">
        <f>payesh!AK14</f>
        <v>0</v>
      </c>
      <c r="J36" s="343">
        <f>payesh!AK9</f>
        <v>0</v>
      </c>
      <c r="K36" s="343">
        <f>payesh!AK18</f>
        <v>0</v>
      </c>
      <c r="L36" s="343">
        <f>payesh!AK8</f>
        <v>0</v>
      </c>
      <c r="M36" s="343">
        <f>payesh!AK46</f>
        <v>0</v>
      </c>
      <c r="N36" s="344">
        <f>payesh!AK17</f>
        <v>0</v>
      </c>
      <c r="O36" s="344">
        <f>payesh!AK16</f>
        <v>0</v>
      </c>
      <c r="P36" s="343">
        <f>payesh!AK19</f>
        <v>0</v>
      </c>
      <c r="Q36" s="343">
        <f>payesh!AK20</f>
        <v>0</v>
      </c>
      <c r="R36" s="343">
        <f>payesh!AK21</f>
        <v>0</v>
      </c>
      <c r="S36" s="343">
        <f>payesh!$AK$55</f>
        <v>0</v>
      </c>
      <c r="T36" s="365">
        <f>payesh!AK64</f>
        <v>0</v>
      </c>
      <c r="U36" s="343">
        <f>payesh!$AK$56</f>
        <v>0</v>
      </c>
      <c r="V36" s="343">
        <f>payesh!AK65</f>
        <v>0</v>
      </c>
      <c r="W36" s="343">
        <f>payesh!AK78</f>
        <v>0</v>
      </c>
      <c r="X36" s="343">
        <f>payesh!AK79</f>
        <v>0</v>
      </c>
      <c r="Y36" s="343">
        <f>payesh!$AK$83</f>
        <v>0</v>
      </c>
      <c r="Z36" s="343">
        <f>payesh!$AK$84</f>
        <v>0</v>
      </c>
      <c r="AA36" s="343">
        <f>payesh!AK86</f>
        <v>0</v>
      </c>
      <c r="AB36" s="343">
        <f>payesh!AK153</f>
        <v>0</v>
      </c>
      <c r="AC36" s="343">
        <f>payesh!AK155</f>
        <v>0</v>
      </c>
      <c r="AD36" s="343">
        <f>payesh!AK157</f>
        <v>0</v>
      </c>
      <c r="AE36" s="343">
        <f>payesh!AK159</f>
        <v>0</v>
      </c>
      <c r="AF36" s="343">
        <f>payesh!AK161</f>
        <v>0</v>
      </c>
      <c r="AG36" s="343">
        <f>payesh!AK163</f>
        <v>0</v>
      </c>
      <c r="AH36" s="343">
        <f>payesh!AK165</f>
        <v>0</v>
      </c>
      <c r="AI36" s="343">
        <f>payesh!AK167</f>
        <v>0</v>
      </c>
      <c r="AJ36" s="343">
        <f>payesh!AK169</f>
        <v>0</v>
      </c>
      <c r="AK36" s="346">
        <f>payesh!AK171</f>
        <v>0</v>
      </c>
    </row>
    <row r="37" spans="2:37" ht="18.75" thickBot="1" x14ac:dyDescent="0.3">
      <c r="B37" s="348">
        <f>payesh!AL7</f>
        <v>34</v>
      </c>
      <c r="C37" s="351">
        <f>payesh!AL3</f>
        <v>0</v>
      </c>
      <c r="D37" s="351">
        <f>payesh!AL4</f>
        <v>0</v>
      </c>
      <c r="E37" s="351">
        <f>payesh!AL5</f>
        <v>0</v>
      </c>
      <c r="F37" s="351">
        <f>payesh!AL6</f>
        <v>0</v>
      </c>
      <c r="G37" s="351">
        <f>payesh!AL10</f>
        <v>0</v>
      </c>
      <c r="H37" s="351">
        <f>payesh!AL13</f>
        <v>0</v>
      </c>
      <c r="I37" s="352">
        <f>payesh!AL14</f>
        <v>0</v>
      </c>
      <c r="J37" s="351">
        <f>payesh!AL9</f>
        <v>0</v>
      </c>
      <c r="K37" s="351">
        <f>payesh!AL18</f>
        <v>0</v>
      </c>
      <c r="L37" s="351">
        <f>payesh!AL8</f>
        <v>0</v>
      </c>
      <c r="M37" s="351">
        <f>payesh!AL46</f>
        <v>0</v>
      </c>
      <c r="N37" s="352">
        <f>payesh!AL17</f>
        <v>0</v>
      </c>
      <c r="O37" s="351">
        <f>payesh!AL16</f>
        <v>0</v>
      </c>
      <c r="P37" s="351">
        <f>payesh!AL19</f>
        <v>0</v>
      </c>
      <c r="Q37" s="351">
        <f>payesh!AL20</f>
        <v>0</v>
      </c>
      <c r="R37" s="351">
        <f>payesh!AL21</f>
        <v>0</v>
      </c>
      <c r="S37" s="351">
        <f>payesh!$AL$55</f>
        <v>0</v>
      </c>
      <c r="T37" s="366">
        <f>payesh!AL64</f>
        <v>0</v>
      </c>
      <c r="U37" s="351">
        <f>payesh!$AL$56</f>
        <v>0</v>
      </c>
      <c r="V37" s="351">
        <f>payesh!AL65</f>
        <v>0</v>
      </c>
      <c r="W37" s="351">
        <f>payesh!AL78</f>
        <v>0</v>
      </c>
      <c r="X37" s="351">
        <f>payesh!AL79</f>
        <v>0</v>
      </c>
      <c r="Y37" s="351">
        <f>payesh!$AL$83</f>
        <v>0</v>
      </c>
      <c r="Z37" s="351">
        <f>payesh!$AL$84</f>
        <v>0</v>
      </c>
      <c r="AA37" s="351">
        <f>payesh!AL86</f>
        <v>0</v>
      </c>
      <c r="AB37" s="351">
        <f>payesh!AL153</f>
        <v>0</v>
      </c>
      <c r="AC37" s="351">
        <f>payesh!AL155</f>
        <v>0</v>
      </c>
      <c r="AD37" s="351">
        <f>payesh!AL157</f>
        <v>0</v>
      </c>
      <c r="AE37" s="351">
        <f>payesh!AL159</f>
        <v>0</v>
      </c>
      <c r="AF37" s="351">
        <f>payesh!AL161</f>
        <v>0</v>
      </c>
      <c r="AG37" s="351">
        <f>payesh!AL163</f>
        <v>0</v>
      </c>
      <c r="AH37" s="351">
        <f>payesh!AL165</f>
        <v>0</v>
      </c>
      <c r="AI37" s="351">
        <f>payesh!AL167</f>
        <v>0</v>
      </c>
      <c r="AJ37" s="351">
        <f>payesh!AL169</f>
        <v>0</v>
      </c>
      <c r="AK37" s="354">
        <f>payesh!AL171</f>
        <v>0</v>
      </c>
    </row>
    <row r="38" spans="2:37" ht="18.75" thickBot="1" x14ac:dyDescent="0.3">
      <c r="B38" s="355">
        <f>payesh!AM7</f>
        <v>35</v>
      </c>
      <c r="C38" s="343">
        <f>payesh!AM3</f>
        <v>0</v>
      </c>
      <c r="D38" s="343">
        <f>payesh!AM4</f>
        <v>0</v>
      </c>
      <c r="E38" s="343">
        <f>payesh!AM5</f>
        <v>0</v>
      </c>
      <c r="F38" s="343">
        <f>payesh!AM6</f>
        <v>0</v>
      </c>
      <c r="G38" s="343">
        <f>payesh!AM10</f>
        <v>0</v>
      </c>
      <c r="H38" s="343">
        <f>payesh!AM13</f>
        <v>0</v>
      </c>
      <c r="I38" s="344">
        <f>payesh!AM14</f>
        <v>0</v>
      </c>
      <c r="J38" s="343">
        <f>payesh!AM9</f>
        <v>0</v>
      </c>
      <c r="K38" s="343">
        <f>payesh!AM18</f>
        <v>0</v>
      </c>
      <c r="L38" s="343">
        <f>payesh!AM8</f>
        <v>0</v>
      </c>
      <c r="M38" s="343">
        <f>payesh!AM46</f>
        <v>0</v>
      </c>
      <c r="N38" s="344">
        <f>payesh!AM17</f>
        <v>0</v>
      </c>
      <c r="O38" s="343">
        <f>payesh!AM16</f>
        <v>0</v>
      </c>
      <c r="P38" s="343">
        <f>payesh!AM19</f>
        <v>0</v>
      </c>
      <c r="Q38" s="343">
        <f>payesh!AM20</f>
        <v>0</v>
      </c>
      <c r="R38" s="343">
        <f>payesh!AM21</f>
        <v>0</v>
      </c>
      <c r="S38" s="343">
        <f>payesh!$AM$55</f>
        <v>0</v>
      </c>
      <c r="T38" s="365">
        <f>payesh!AM64</f>
        <v>0</v>
      </c>
      <c r="U38" s="343">
        <f>payesh!$AM$56</f>
        <v>0</v>
      </c>
      <c r="V38" s="343">
        <f>payesh!AM65</f>
        <v>0</v>
      </c>
      <c r="W38" s="343">
        <f>payesh!AM78</f>
        <v>0</v>
      </c>
      <c r="X38" s="343">
        <f>payesh!AM79</f>
        <v>0</v>
      </c>
      <c r="Y38" s="343">
        <f>payesh!$AM$83</f>
        <v>0</v>
      </c>
      <c r="Z38" s="343">
        <f>payesh!$AM$84</f>
        <v>0</v>
      </c>
      <c r="AA38" s="343">
        <f>payesh!AM86</f>
        <v>0</v>
      </c>
      <c r="AB38" s="343">
        <f>payesh!AM153</f>
        <v>0</v>
      </c>
      <c r="AC38" s="343">
        <f>payesh!AM155</f>
        <v>0</v>
      </c>
      <c r="AD38" s="343">
        <f>payesh!AM157</f>
        <v>0</v>
      </c>
      <c r="AE38" s="343">
        <f>payesh!AM159</f>
        <v>0</v>
      </c>
      <c r="AF38" s="343">
        <f>payesh!AM161</f>
        <v>0</v>
      </c>
      <c r="AG38" s="343">
        <f>payesh!AM163</f>
        <v>0</v>
      </c>
      <c r="AH38" s="343">
        <f>payesh!AM165</f>
        <v>0</v>
      </c>
      <c r="AI38" s="343">
        <f>payesh!AM167</f>
        <v>0</v>
      </c>
      <c r="AJ38" s="343">
        <f>payesh!AM169</f>
        <v>0</v>
      </c>
      <c r="AK38" s="346">
        <f>payesh!AM171</f>
        <v>0</v>
      </c>
    </row>
    <row r="39" spans="2:37" ht="18.75" thickBot="1" x14ac:dyDescent="0.3">
      <c r="B39" s="348">
        <f>payesh!AN7</f>
        <v>36</v>
      </c>
      <c r="C39" s="351">
        <f>payesh!AN3</f>
        <v>0</v>
      </c>
      <c r="D39" s="351">
        <f>payesh!AN4</f>
        <v>0</v>
      </c>
      <c r="E39" s="351">
        <f>payesh!AN5</f>
        <v>0</v>
      </c>
      <c r="F39" s="351">
        <f>payesh!AN6</f>
        <v>0</v>
      </c>
      <c r="G39" s="351">
        <f>payesh!AN10</f>
        <v>0</v>
      </c>
      <c r="H39" s="351">
        <f>payesh!AN13</f>
        <v>0</v>
      </c>
      <c r="I39" s="352">
        <f>payesh!AN14</f>
        <v>0</v>
      </c>
      <c r="J39" s="351">
        <f>payesh!AN9</f>
        <v>0</v>
      </c>
      <c r="K39" s="351">
        <f>payesh!AN18</f>
        <v>0</v>
      </c>
      <c r="L39" s="351">
        <f>payesh!AN8</f>
        <v>0</v>
      </c>
      <c r="M39" s="351">
        <f>payesh!AN46</f>
        <v>0</v>
      </c>
      <c r="N39" s="352">
        <f>payesh!AN17</f>
        <v>0</v>
      </c>
      <c r="O39" s="351">
        <f>payesh!AN16</f>
        <v>0</v>
      </c>
      <c r="P39" s="351">
        <f>payesh!AN19</f>
        <v>0</v>
      </c>
      <c r="Q39" s="351">
        <f>payesh!AN20</f>
        <v>0</v>
      </c>
      <c r="R39" s="351">
        <f>payesh!AN21</f>
        <v>0</v>
      </c>
      <c r="S39" s="351">
        <f>payesh!$AN$55</f>
        <v>0</v>
      </c>
      <c r="T39" s="366">
        <f>payesh!AN64</f>
        <v>0</v>
      </c>
      <c r="U39" s="351">
        <f>payesh!$AN$56</f>
        <v>0</v>
      </c>
      <c r="V39" s="351">
        <f>payesh!AN65</f>
        <v>0</v>
      </c>
      <c r="W39" s="351">
        <f>payesh!AN78</f>
        <v>0</v>
      </c>
      <c r="X39" s="351">
        <f>payesh!AN79</f>
        <v>0</v>
      </c>
      <c r="Y39" s="351">
        <f>payesh!$AN$83</f>
        <v>0</v>
      </c>
      <c r="Z39" s="351">
        <f>payesh!$AN$84</f>
        <v>0</v>
      </c>
      <c r="AA39" s="351">
        <f>payesh!AN86</f>
        <v>0</v>
      </c>
      <c r="AB39" s="351">
        <f>payesh!AN153</f>
        <v>0</v>
      </c>
      <c r="AC39" s="351">
        <f>payesh!AN155</f>
        <v>0</v>
      </c>
      <c r="AD39" s="351">
        <f>payesh!AN157</f>
        <v>0</v>
      </c>
      <c r="AE39" s="351">
        <f>payesh!AN159</f>
        <v>0</v>
      </c>
      <c r="AF39" s="351">
        <f>payesh!AN161</f>
        <v>0</v>
      </c>
      <c r="AG39" s="351">
        <f>payesh!AN163</f>
        <v>0</v>
      </c>
      <c r="AH39" s="351">
        <f>payesh!AN165</f>
        <v>0</v>
      </c>
      <c r="AI39" s="351">
        <f>payesh!AN167</f>
        <v>0</v>
      </c>
      <c r="AJ39" s="351">
        <f>payesh!AN169</f>
        <v>0</v>
      </c>
      <c r="AK39" s="354">
        <f>payesh!AN171</f>
        <v>0</v>
      </c>
    </row>
    <row r="40" spans="2:37" ht="18.75" thickBot="1" x14ac:dyDescent="0.3">
      <c r="B40" s="355">
        <f>payesh!AO7</f>
        <v>37</v>
      </c>
      <c r="C40" s="343">
        <f>payesh!AO3</f>
        <v>0</v>
      </c>
      <c r="D40" s="343">
        <f>payesh!AO4</f>
        <v>0</v>
      </c>
      <c r="E40" s="343">
        <f>payesh!AO5</f>
        <v>0</v>
      </c>
      <c r="F40" s="343">
        <f>payesh!AO6</f>
        <v>0</v>
      </c>
      <c r="G40" s="343">
        <f>payesh!AO10</f>
        <v>0</v>
      </c>
      <c r="H40" s="343">
        <f>payesh!AO13</f>
        <v>0</v>
      </c>
      <c r="I40" s="344">
        <f>payesh!AO14</f>
        <v>0</v>
      </c>
      <c r="J40" s="343">
        <f>payesh!AO9</f>
        <v>0</v>
      </c>
      <c r="K40" s="343">
        <f>payesh!AO18</f>
        <v>0</v>
      </c>
      <c r="L40" s="343">
        <f>payesh!AO8</f>
        <v>0</v>
      </c>
      <c r="M40" s="343">
        <f>payesh!AO46</f>
        <v>0</v>
      </c>
      <c r="N40" s="344">
        <f>payesh!AO17</f>
        <v>0</v>
      </c>
      <c r="O40" s="343">
        <f>payesh!AO16</f>
        <v>0</v>
      </c>
      <c r="P40" s="343">
        <f>payesh!AO19</f>
        <v>0</v>
      </c>
      <c r="Q40" s="343">
        <f>payesh!AO20</f>
        <v>0</v>
      </c>
      <c r="R40" s="343">
        <f>payesh!AO21</f>
        <v>0</v>
      </c>
      <c r="S40" s="343">
        <f>payesh!$AO$55</f>
        <v>0</v>
      </c>
      <c r="T40" s="365">
        <f>payesh!AO64</f>
        <v>0</v>
      </c>
      <c r="U40" s="343">
        <f>payesh!$AO$56</f>
        <v>0</v>
      </c>
      <c r="V40" s="343">
        <f>payesh!AO65</f>
        <v>0</v>
      </c>
      <c r="W40" s="343">
        <f>payesh!AO78</f>
        <v>0</v>
      </c>
      <c r="X40" s="343">
        <f>payesh!AO79</f>
        <v>0</v>
      </c>
      <c r="Y40" s="343">
        <f>payesh!$AO$83</f>
        <v>0</v>
      </c>
      <c r="Z40" s="343">
        <f>payesh!$AO$84</f>
        <v>0</v>
      </c>
      <c r="AA40" s="343">
        <f>payesh!AO86</f>
        <v>0</v>
      </c>
      <c r="AB40" s="343">
        <f>payesh!AO153</f>
        <v>0</v>
      </c>
      <c r="AC40" s="343">
        <f>payesh!AO155</f>
        <v>0</v>
      </c>
      <c r="AD40" s="343">
        <f>payesh!AO157</f>
        <v>0</v>
      </c>
      <c r="AE40" s="343">
        <f>payesh!AO159</f>
        <v>0</v>
      </c>
      <c r="AF40" s="343">
        <f>payesh!AO161</f>
        <v>0</v>
      </c>
      <c r="AG40" s="343">
        <f>payesh!AO163</f>
        <v>0</v>
      </c>
      <c r="AH40" s="343">
        <f>payesh!AO165</f>
        <v>0</v>
      </c>
      <c r="AI40" s="343">
        <f>payesh!AO167</f>
        <v>0</v>
      </c>
      <c r="AJ40" s="343">
        <f>payesh!AO169</f>
        <v>0</v>
      </c>
      <c r="AK40" s="346">
        <f>payesh!AO171</f>
        <v>0</v>
      </c>
    </row>
    <row r="41" spans="2:37" ht="18.75" thickBot="1" x14ac:dyDescent="0.3">
      <c r="B41" s="348">
        <f>payesh!AP7</f>
        <v>38</v>
      </c>
      <c r="C41" s="351">
        <f>payesh!AP3</f>
        <v>0</v>
      </c>
      <c r="D41" s="351">
        <f>payesh!AP4</f>
        <v>0</v>
      </c>
      <c r="E41" s="351">
        <f>payesh!AP5</f>
        <v>0</v>
      </c>
      <c r="F41" s="351">
        <f>payesh!AP6</f>
        <v>0</v>
      </c>
      <c r="G41" s="351">
        <f>payesh!AP10</f>
        <v>0</v>
      </c>
      <c r="H41" s="351">
        <f>payesh!AP13</f>
        <v>0</v>
      </c>
      <c r="I41" s="352">
        <f>payesh!AP14</f>
        <v>0</v>
      </c>
      <c r="J41" s="351">
        <f>payesh!AP9</f>
        <v>0</v>
      </c>
      <c r="K41" s="351">
        <f>payesh!AP18</f>
        <v>0</v>
      </c>
      <c r="L41" s="351">
        <f>payesh!AP8</f>
        <v>0</v>
      </c>
      <c r="M41" s="351">
        <f>payesh!AP46</f>
        <v>0</v>
      </c>
      <c r="N41" s="352">
        <f>payesh!AP17</f>
        <v>0</v>
      </c>
      <c r="O41" s="351">
        <f>payesh!AP16</f>
        <v>0</v>
      </c>
      <c r="P41" s="351">
        <f>payesh!AP19</f>
        <v>0</v>
      </c>
      <c r="Q41" s="351">
        <f>payesh!AP20</f>
        <v>0</v>
      </c>
      <c r="R41" s="351">
        <f>payesh!AP21</f>
        <v>0</v>
      </c>
      <c r="S41" s="351">
        <f>payesh!$AP$55</f>
        <v>0</v>
      </c>
      <c r="T41" s="366">
        <f>payesh!AP64</f>
        <v>0</v>
      </c>
      <c r="U41" s="351">
        <f>payesh!$AP$56</f>
        <v>0</v>
      </c>
      <c r="V41" s="351">
        <f>payesh!AP65</f>
        <v>0</v>
      </c>
      <c r="W41" s="351">
        <f>payesh!AP78</f>
        <v>0</v>
      </c>
      <c r="X41" s="351">
        <f>payesh!AP79</f>
        <v>0</v>
      </c>
      <c r="Y41" s="351">
        <f>payesh!$AP$83</f>
        <v>0</v>
      </c>
      <c r="Z41" s="351">
        <f>payesh!$AP$84</f>
        <v>0</v>
      </c>
      <c r="AA41" s="351">
        <f>payesh!AP86</f>
        <v>0</v>
      </c>
      <c r="AB41" s="351">
        <f>payesh!AP153</f>
        <v>0</v>
      </c>
      <c r="AC41" s="351">
        <f>payesh!AP155</f>
        <v>0</v>
      </c>
      <c r="AD41" s="351">
        <f>payesh!AP157</f>
        <v>0</v>
      </c>
      <c r="AE41" s="351">
        <f>payesh!AP159</f>
        <v>0</v>
      </c>
      <c r="AF41" s="351">
        <f>payesh!AP161</f>
        <v>0</v>
      </c>
      <c r="AG41" s="351">
        <f>payesh!AP163</f>
        <v>0</v>
      </c>
      <c r="AH41" s="351">
        <f>payesh!AP165</f>
        <v>0</v>
      </c>
      <c r="AI41" s="351">
        <f>payesh!AP167</f>
        <v>0</v>
      </c>
      <c r="AJ41" s="351">
        <f>payesh!AP169</f>
        <v>0</v>
      </c>
      <c r="AK41" s="354">
        <f>payesh!AP171</f>
        <v>0</v>
      </c>
    </row>
    <row r="42" spans="2:37" ht="18.75" thickBot="1" x14ac:dyDescent="0.3">
      <c r="B42" s="355">
        <f>payesh!AQ7</f>
        <v>39</v>
      </c>
      <c r="C42" s="343">
        <f>payesh!AQ3</f>
        <v>0</v>
      </c>
      <c r="D42" s="343">
        <f>payesh!AQ4</f>
        <v>0</v>
      </c>
      <c r="E42" s="343">
        <f>payesh!AQ5</f>
        <v>0</v>
      </c>
      <c r="F42" s="343">
        <f>payesh!AQ6</f>
        <v>0</v>
      </c>
      <c r="G42" s="343">
        <f>payesh!AQ10</f>
        <v>0</v>
      </c>
      <c r="H42" s="343">
        <f>payesh!AQ13</f>
        <v>0</v>
      </c>
      <c r="I42" s="344">
        <f>payesh!AQ14</f>
        <v>0</v>
      </c>
      <c r="J42" s="343">
        <f>payesh!AQ9</f>
        <v>0</v>
      </c>
      <c r="K42" s="343">
        <f>payesh!AQ18</f>
        <v>0</v>
      </c>
      <c r="L42" s="343">
        <f>payesh!AQ8</f>
        <v>0</v>
      </c>
      <c r="M42" s="343">
        <f>payesh!AQ46</f>
        <v>0</v>
      </c>
      <c r="N42" s="344">
        <f>payesh!AQ17</f>
        <v>0</v>
      </c>
      <c r="O42" s="343">
        <f>payesh!AQ16</f>
        <v>0</v>
      </c>
      <c r="P42" s="343">
        <f>payesh!AQ19</f>
        <v>0</v>
      </c>
      <c r="Q42" s="343">
        <f>payesh!AQ20</f>
        <v>0</v>
      </c>
      <c r="R42" s="343">
        <f>payesh!AQ21</f>
        <v>0</v>
      </c>
      <c r="S42" s="343">
        <f>payesh!$AQ$55</f>
        <v>0</v>
      </c>
      <c r="T42" s="365">
        <f>payesh!AQ64</f>
        <v>0</v>
      </c>
      <c r="U42" s="343">
        <f>payesh!$AQ$56</f>
        <v>0</v>
      </c>
      <c r="V42" s="343">
        <f>payesh!AQ65</f>
        <v>0</v>
      </c>
      <c r="W42" s="343">
        <f>payesh!AQ78</f>
        <v>0</v>
      </c>
      <c r="X42" s="343">
        <f>payesh!AQ79</f>
        <v>0</v>
      </c>
      <c r="Y42" s="343">
        <f>payesh!$AQ$83</f>
        <v>0</v>
      </c>
      <c r="Z42" s="343">
        <f>payesh!$AQ$84</f>
        <v>0</v>
      </c>
      <c r="AA42" s="343">
        <f>payesh!AQ86</f>
        <v>0</v>
      </c>
      <c r="AB42" s="343">
        <f>payesh!AQ153</f>
        <v>0</v>
      </c>
      <c r="AC42" s="343">
        <f>payesh!AQ155</f>
        <v>0</v>
      </c>
      <c r="AD42" s="343">
        <f>payesh!AQ157</f>
        <v>0</v>
      </c>
      <c r="AE42" s="343">
        <f>payesh!AQ159</f>
        <v>0</v>
      </c>
      <c r="AF42" s="343">
        <f>payesh!AQ161</f>
        <v>0</v>
      </c>
      <c r="AG42" s="343">
        <f>payesh!AQ163</f>
        <v>0</v>
      </c>
      <c r="AH42" s="343">
        <f>payesh!AQ165</f>
        <v>0</v>
      </c>
      <c r="AI42" s="343">
        <f>payesh!AQ167</f>
        <v>0</v>
      </c>
      <c r="AJ42" s="343">
        <f>payesh!AQ169</f>
        <v>0</v>
      </c>
      <c r="AK42" s="346">
        <f>payesh!AQ171</f>
        <v>0</v>
      </c>
    </row>
    <row r="43" spans="2:37" ht="18.75" thickBot="1" x14ac:dyDescent="0.3">
      <c r="B43" s="348">
        <f>payesh!AR7</f>
        <v>40</v>
      </c>
      <c r="C43" s="351">
        <f>payesh!AR3</f>
        <v>0</v>
      </c>
      <c r="D43" s="351">
        <f>payesh!AR4</f>
        <v>0</v>
      </c>
      <c r="E43" s="351">
        <f>payesh!AR5</f>
        <v>0</v>
      </c>
      <c r="F43" s="351">
        <f>payesh!AR6</f>
        <v>0</v>
      </c>
      <c r="G43" s="351">
        <f>payesh!AR10</f>
        <v>0</v>
      </c>
      <c r="H43" s="351">
        <f>payesh!AR13</f>
        <v>0</v>
      </c>
      <c r="I43" s="352">
        <f>payesh!AR14</f>
        <v>0</v>
      </c>
      <c r="J43" s="351">
        <f>payesh!AR9</f>
        <v>0</v>
      </c>
      <c r="K43" s="351">
        <f>payesh!AR18</f>
        <v>0</v>
      </c>
      <c r="L43" s="351">
        <f>payesh!AR8</f>
        <v>0</v>
      </c>
      <c r="M43" s="351">
        <f>payesh!AR46</f>
        <v>0</v>
      </c>
      <c r="N43" s="352">
        <f>payesh!AR17</f>
        <v>0</v>
      </c>
      <c r="O43" s="351">
        <f>payesh!AR16</f>
        <v>0</v>
      </c>
      <c r="P43" s="351">
        <f>payesh!AR19</f>
        <v>0</v>
      </c>
      <c r="Q43" s="351">
        <f>payesh!AR20</f>
        <v>0</v>
      </c>
      <c r="R43" s="351">
        <f>payesh!AR21</f>
        <v>0</v>
      </c>
      <c r="S43" s="351">
        <f>payesh!$AR$55</f>
        <v>0</v>
      </c>
      <c r="T43" s="366">
        <f>payesh!AR64</f>
        <v>0</v>
      </c>
      <c r="U43" s="351">
        <f>payesh!$AR$56</f>
        <v>0</v>
      </c>
      <c r="V43" s="351">
        <f>payesh!AR65</f>
        <v>0</v>
      </c>
      <c r="W43" s="351">
        <f>payesh!AR78</f>
        <v>0</v>
      </c>
      <c r="X43" s="351">
        <f>payesh!AR79</f>
        <v>0</v>
      </c>
      <c r="Y43" s="351">
        <f>payesh!$AR$83</f>
        <v>0</v>
      </c>
      <c r="Z43" s="351">
        <f>payesh!$AR$84</f>
        <v>0</v>
      </c>
      <c r="AA43" s="351">
        <f>payesh!AR86</f>
        <v>0</v>
      </c>
      <c r="AB43" s="351">
        <f>payesh!AR153</f>
        <v>0</v>
      </c>
      <c r="AC43" s="351">
        <f>payesh!AR155</f>
        <v>0</v>
      </c>
      <c r="AD43" s="351">
        <f>payesh!AR157</f>
        <v>0</v>
      </c>
      <c r="AE43" s="351">
        <f>payesh!AR159</f>
        <v>0</v>
      </c>
      <c r="AF43" s="351">
        <f>payesh!AR161</f>
        <v>0</v>
      </c>
      <c r="AG43" s="351">
        <f>payesh!AR163</f>
        <v>0</v>
      </c>
      <c r="AH43" s="351">
        <f>payesh!AR165</f>
        <v>0</v>
      </c>
      <c r="AI43" s="351">
        <f>payesh!AR167</f>
        <v>0</v>
      </c>
      <c r="AJ43" s="351">
        <f>payesh!AR169</f>
        <v>0</v>
      </c>
      <c r="AK43" s="354">
        <f>payesh!AR171</f>
        <v>0</v>
      </c>
    </row>
  </sheetData>
  <sheetProtection algorithmName="SHA-512" hashValue="smScVX9x3s9CiRuIikZPzckhpiWtfZ4aLXBpbkrAyux8rVEvAyJ66BMDpDTN4A5wFVEoIqzgIWLgst9mnsuxFw==" saltValue="4p08sV4QKALJgIE+HLUEr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10" workbookViewId="0">
      <selection activeCell="E3" sqref="E3"/>
    </sheetView>
  </sheetViews>
  <sheetFormatPr defaultColWidth="9.140625" defaultRowHeight="18.75" x14ac:dyDescent="0.25"/>
  <cols>
    <col min="1" max="1" width="1.85546875" style="62" customWidth="1"/>
    <col min="2" max="2" width="16.28515625" style="75" customWidth="1"/>
    <col min="3" max="3" width="8.5703125" style="75" customWidth="1"/>
    <col min="4" max="4" width="44.28515625" style="77" customWidth="1"/>
    <col min="5" max="5" width="14.5703125" style="102" customWidth="1"/>
    <col min="6" max="6" width="10.140625" style="102" customWidth="1"/>
    <col min="7" max="16384" width="9.140625" style="62"/>
  </cols>
  <sheetData>
    <row r="1" spans="2:6" ht="19.5" thickBot="1" x14ac:dyDescent="0.3"/>
    <row r="2" spans="2:6" ht="33.75" customHeight="1" thickBot="1" x14ac:dyDescent="0.3">
      <c r="B2" s="595" t="s">
        <v>89</v>
      </c>
      <c r="C2" s="596"/>
      <c r="D2" s="597"/>
      <c r="E2" s="76" t="s">
        <v>90</v>
      </c>
      <c r="F2" s="103"/>
    </row>
    <row r="3" spans="2:6" ht="15" customHeight="1" x14ac:dyDescent="0.25">
      <c r="B3" s="598" t="s">
        <v>14</v>
      </c>
      <c r="C3" s="599"/>
      <c r="D3" s="78" t="s">
        <v>91</v>
      </c>
      <c r="E3" s="104">
        <f>SUMPRODUCT((payesh!E10:AR10&lt;&gt;"")/COUNTIF(payesh!E10:AR10,payesh!E10:AR10&amp;""))</f>
        <v>1.0000000000000002</v>
      </c>
      <c r="F3" s="61"/>
    </row>
    <row r="4" spans="2:6" ht="15" customHeight="1" x14ac:dyDescent="0.25">
      <c r="B4" s="600"/>
      <c r="C4" s="601"/>
      <c r="D4" s="79" t="s">
        <v>92</v>
      </c>
      <c r="E4" s="105">
        <f>SUMPRODUCT((payesh!E11:AR11&lt;&gt;"")/COUNTIF(payesh!E11:AR11,payesh!E11:AR11&amp;""))</f>
        <v>1.0000000000000002</v>
      </c>
      <c r="F4" s="61"/>
    </row>
    <row r="5" spans="2:6" ht="15" customHeight="1" thickBot="1" x14ac:dyDescent="0.3">
      <c r="B5" s="602"/>
      <c r="C5" s="603"/>
      <c r="D5" s="80" t="s">
        <v>175</v>
      </c>
      <c r="E5" s="106">
        <f>SUMPRODUCT((payesh!E13:AR13&lt;&gt;"")/COUNTIF(payesh!E13:AR13,payesh!E13:AR13&amp;""))</f>
        <v>2.0000000000000004</v>
      </c>
      <c r="F5" s="103"/>
    </row>
    <row r="6" spans="2:6" ht="15" customHeight="1" x14ac:dyDescent="0.25">
      <c r="B6" s="604" t="s">
        <v>11</v>
      </c>
      <c r="C6" s="605"/>
      <c r="D6" s="81" t="s">
        <v>176</v>
      </c>
      <c r="E6" s="107">
        <f>SUMPRODUCT((payesh!E4:AR4&lt;&gt;"")/COUNTIF(payesh!E4:AR4,payesh!E4:AR4&amp;""))</f>
        <v>1.0000000000000002</v>
      </c>
      <c r="F6" s="103"/>
    </row>
    <row r="7" spans="2:6" ht="15" customHeight="1" x14ac:dyDescent="0.25">
      <c r="B7" s="606"/>
      <c r="C7" s="607"/>
      <c r="D7" s="81" t="s">
        <v>93</v>
      </c>
      <c r="E7" s="108">
        <f>SUMPRODUCT((payesh!E5:AR5&lt;&gt;"")/COUNTIF(payesh!E5:AR5,payesh!E5:AR5&amp;""))</f>
        <v>6.0000000000000009</v>
      </c>
      <c r="F7" s="61"/>
    </row>
    <row r="8" spans="2:6" ht="15" customHeight="1" x14ac:dyDescent="0.25">
      <c r="B8" s="606"/>
      <c r="C8" s="607"/>
      <c r="D8" s="82" t="s">
        <v>177</v>
      </c>
      <c r="E8" s="108">
        <v>0</v>
      </c>
      <c r="F8" s="103"/>
    </row>
    <row r="9" spans="2:6" ht="15" customHeight="1" x14ac:dyDescent="0.25">
      <c r="B9" s="606"/>
      <c r="C9" s="607"/>
      <c r="D9" s="82" t="s">
        <v>94</v>
      </c>
      <c r="E9" s="108">
        <f>COUNT(payesh!E22:AR22)</f>
        <v>20</v>
      </c>
      <c r="F9" s="61"/>
    </row>
    <row r="10" spans="2:6" ht="15" customHeight="1" x14ac:dyDescent="0.25">
      <c r="B10" s="606"/>
      <c r="C10" s="607"/>
      <c r="D10" s="82" t="s">
        <v>178</v>
      </c>
      <c r="E10" s="108">
        <f>SUM(payesh!E22:AR22)</f>
        <v>312</v>
      </c>
      <c r="F10" s="103"/>
    </row>
    <row r="11" spans="2:6" ht="15" customHeight="1" x14ac:dyDescent="0.25">
      <c r="B11" s="606"/>
      <c r="C11" s="607"/>
      <c r="D11" s="82" t="s">
        <v>95</v>
      </c>
      <c r="E11" s="108">
        <f>E10/E9</f>
        <v>15.6</v>
      </c>
      <c r="F11" s="103"/>
    </row>
    <row r="12" spans="2:6" ht="15" customHeight="1" x14ac:dyDescent="0.25">
      <c r="B12" s="606"/>
      <c r="C12" s="607"/>
      <c r="D12" s="82" t="s">
        <v>1</v>
      </c>
      <c r="E12" s="108">
        <f>SUM(payesh!E23:AR23)</f>
        <v>308</v>
      </c>
      <c r="F12" s="103"/>
    </row>
    <row r="13" spans="2:6" ht="15" customHeight="1" x14ac:dyDescent="0.25">
      <c r="B13" s="606"/>
      <c r="C13" s="607"/>
      <c r="D13" s="82" t="s">
        <v>3</v>
      </c>
      <c r="E13" s="109">
        <f>(E12*100)/E10</f>
        <v>98.717948717948715</v>
      </c>
      <c r="F13" s="61"/>
    </row>
    <row r="14" spans="2:6" ht="15" customHeight="1" x14ac:dyDescent="0.25">
      <c r="B14" s="606"/>
      <c r="C14" s="607"/>
      <c r="D14" s="82" t="s">
        <v>96</v>
      </c>
      <c r="E14" s="108">
        <f>SUM(payesh!E26:AR26)</f>
        <v>5</v>
      </c>
      <c r="F14" s="103"/>
    </row>
    <row r="15" spans="2:6" ht="16.5" customHeight="1" x14ac:dyDescent="0.25">
      <c r="B15" s="606"/>
      <c r="C15" s="607"/>
      <c r="D15" s="82" t="s">
        <v>179</v>
      </c>
      <c r="E15" s="109">
        <f>(E14*100)/E12</f>
        <v>1.6233766233766234</v>
      </c>
      <c r="F15" s="61"/>
    </row>
    <row r="16" spans="2:6" ht="15" customHeight="1" thickBot="1" x14ac:dyDescent="0.3">
      <c r="B16" s="608"/>
      <c r="C16" s="609"/>
      <c r="D16" s="82" t="s">
        <v>180</v>
      </c>
      <c r="E16" s="110">
        <f>AVERAGE(payesh!E29:AR29)</f>
        <v>32.950000000000003</v>
      </c>
      <c r="F16" s="103"/>
    </row>
    <row r="17" spans="2:6" ht="15.75" customHeight="1" x14ac:dyDescent="0.25">
      <c r="B17" s="610" t="s">
        <v>181</v>
      </c>
      <c r="C17" s="611"/>
      <c r="D17" s="83" t="s">
        <v>182</v>
      </c>
      <c r="E17" s="111">
        <f>SUM(payesh!E62:AR62)/1000</f>
        <v>865848.73</v>
      </c>
      <c r="F17" s="61"/>
    </row>
    <row r="18" spans="2:6" ht="14.25" customHeight="1" x14ac:dyDescent="0.25">
      <c r="B18" s="612"/>
      <c r="C18" s="613"/>
      <c r="D18" s="84" t="s">
        <v>183</v>
      </c>
      <c r="E18" s="112">
        <f>SUM(payesh!E68:AR68)</f>
        <v>343</v>
      </c>
      <c r="F18" s="103"/>
    </row>
    <row r="19" spans="2:6" ht="14.25" customHeight="1" x14ac:dyDescent="0.25">
      <c r="B19" s="612"/>
      <c r="C19" s="613"/>
      <c r="D19" s="84" t="s">
        <v>184</v>
      </c>
      <c r="E19" s="112">
        <f>SUM(payesh!E67:AR67)/1000</f>
        <v>2138530</v>
      </c>
      <c r="F19" s="61"/>
    </row>
    <row r="20" spans="2:6" ht="14.25" customHeight="1" x14ac:dyDescent="0.25">
      <c r="B20" s="612"/>
      <c r="C20" s="613"/>
      <c r="D20" s="84" t="s">
        <v>97</v>
      </c>
      <c r="E20" s="112">
        <f>E19/E18</f>
        <v>6234.7813411078714</v>
      </c>
      <c r="F20" s="61"/>
    </row>
    <row r="21" spans="2:6" ht="14.25" customHeight="1" thickBot="1" x14ac:dyDescent="0.3">
      <c r="B21" s="614"/>
      <c r="C21" s="613"/>
      <c r="D21" s="85" t="s">
        <v>185</v>
      </c>
      <c r="E21" s="337">
        <f>AVERAGE(payesh!E74:AR74)</f>
        <v>100</v>
      </c>
      <c r="F21" s="61"/>
    </row>
    <row r="22" spans="2:6" ht="14.25" customHeight="1" x14ac:dyDescent="0.25">
      <c r="B22" s="615" t="s">
        <v>98</v>
      </c>
      <c r="C22" s="619"/>
      <c r="D22" s="86" t="s">
        <v>99</v>
      </c>
      <c r="E22" s="113">
        <f>SUMPRODUCT((payesh!E80:AR80&lt;&gt;"")/COUNTIF(payesh!E80:AR80,payesh!E80:AR80&amp;""))</f>
        <v>1.9999999999999993</v>
      </c>
      <c r="F22" s="103"/>
    </row>
    <row r="23" spans="2:6" ht="14.25" customHeight="1" thickBot="1" x14ac:dyDescent="0.3">
      <c r="B23" s="616"/>
      <c r="C23" s="620"/>
      <c r="D23" s="87" t="s">
        <v>100</v>
      </c>
      <c r="E23" s="338">
        <f>COUNT(payesh!E84:AR84)</f>
        <v>13</v>
      </c>
      <c r="F23" s="61"/>
    </row>
    <row r="24" spans="2:6" ht="14.25" customHeight="1" x14ac:dyDescent="0.25">
      <c r="B24" s="617"/>
      <c r="C24" s="621" t="s">
        <v>186</v>
      </c>
      <c r="D24" s="88" t="s">
        <v>187</v>
      </c>
      <c r="E24" s="336">
        <f>COUNT(payesh!E86:AR86)</f>
        <v>13</v>
      </c>
      <c r="F24" s="103"/>
    </row>
    <row r="25" spans="2:6" ht="14.25" customHeight="1" x14ac:dyDescent="0.25">
      <c r="B25" s="617"/>
      <c r="C25" s="621"/>
      <c r="D25" s="89" t="s">
        <v>188</v>
      </c>
      <c r="E25" s="114">
        <f>SUM(payesh!E86:AR86)/1000</f>
        <v>2570000</v>
      </c>
      <c r="F25" s="61"/>
    </row>
    <row r="26" spans="2:6" ht="14.25" customHeight="1" x14ac:dyDescent="0.25">
      <c r="B26" s="617"/>
      <c r="C26" s="621"/>
      <c r="D26" s="89" t="s">
        <v>101</v>
      </c>
      <c r="E26" s="114">
        <f>AVERAGE(payesh!E89:AR89)</f>
        <v>20</v>
      </c>
      <c r="F26" s="103"/>
    </row>
    <row r="27" spans="2:6" ht="28.5" x14ac:dyDescent="0.25">
      <c r="B27" s="617"/>
      <c r="C27" s="621" t="s">
        <v>186</v>
      </c>
      <c r="D27" s="89" t="s">
        <v>102</v>
      </c>
      <c r="E27" s="114">
        <f>AVERAGE(payesh!E90:AR90)</f>
        <v>22.4</v>
      </c>
    </row>
    <row r="28" spans="2:6" x14ac:dyDescent="0.25">
      <c r="B28" s="617"/>
      <c r="C28" s="621"/>
      <c r="D28" s="89" t="s">
        <v>103</v>
      </c>
      <c r="E28" s="114">
        <f>SUM(payesh!E91:AR91)</f>
        <v>177</v>
      </c>
    </row>
    <row r="29" spans="2:6" x14ac:dyDescent="0.25">
      <c r="B29" s="617"/>
      <c r="C29" s="621"/>
      <c r="D29" s="89" t="s">
        <v>104</v>
      </c>
      <c r="E29" s="115">
        <f>E25/E28</f>
        <v>14519.774011299434</v>
      </c>
    </row>
    <row r="30" spans="2:6" ht="19.5" thickBot="1" x14ac:dyDescent="0.3">
      <c r="B30" s="617"/>
      <c r="C30" s="622"/>
      <c r="D30" s="90" t="s">
        <v>105</v>
      </c>
      <c r="E30" s="116">
        <f>AVERAGE(payesh!E136:AR136)</f>
        <v>100</v>
      </c>
    </row>
    <row r="31" spans="2:6" ht="18" customHeight="1" x14ac:dyDescent="0.25">
      <c r="B31" s="617"/>
      <c r="C31" s="623" t="s">
        <v>189</v>
      </c>
      <c r="D31" s="88" t="s">
        <v>190</v>
      </c>
      <c r="E31" s="113">
        <f>COUNT(payesh!E99:AR99)</f>
        <v>4</v>
      </c>
    </row>
    <row r="32" spans="2:6" x14ac:dyDescent="0.25">
      <c r="B32" s="617"/>
      <c r="C32" s="621"/>
      <c r="D32" s="89" t="s">
        <v>188</v>
      </c>
      <c r="E32" s="114">
        <f>SUM(payesh!E99:AR99)/1000</f>
        <v>1430000</v>
      </c>
    </row>
    <row r="33" spans="2:14" x14ac:dyDescent="0.25">
      <c r="B33" s="617"/>
      <c r="C33" s="621"/>
      <c r="D33" s="89" t="s">
        <v>191</v>
      </c>
      <c r="E33" s="114">
        <f>AVERAGE(payesh!E102:AR102)</f>
        <v>18</v>
      </c>
    </row>
    <row r="34" spans="2:14" ht="28.5" x14ac:dyDescent="0.25">
      <c r="B34" s="617"/>
      <c r="C34" s="621" t="s">
        <v>189</v>
      </c>
      <c r="D34" s="89" t="s">
        <v>102</v>
      </c>
      <c r="E34" s="114">
        <f>AVERAGE(payesh!E103:AR103)</f>
        <v>24</v>
      </c>
    </row>
    <row r="35" spans="2:14" x14ac:dyDescent="0.25">
      <c r="B35" s="617"/>
      <c r="C35" s="621"/>
      <c r="D35" s="89" t="s">
        <v>192</v>
      </c>
      <c r="E35" s="114">
        <f>SUM(payesh!E104:AR104)</f>
        <v>42</v>
      </c>
      <c r="N35" s="117"/>
    </row>
    <row r="36" spans="2:14" x14ac:dyDescent="0.25">
      <c r="B36" s="617"/>
      <c r="C36" s="621"/>
      <c r="D36" s="89" t="s">
        <v>193</v>
      </c>
      <c r="E36" s="115">
        <f>E32/E35</f>
        <v>34047.619047619046</v>
      </c>
    </row>
    <row r="37" spans="2:14" ht="19.5" thickBot="1" x14ac:dyDescent="0.3">
      <c r="B37" s="617"/>
      <c r="C37" s="622"/>
      <c r="D37" s="91" t="s">
        <v>105</v>
      </c>
      <c r="E37" s="116">
        <f>AVERAGE(payesh!E140:AR140)</f>
        <v>18</v>
      </c>
    </row>
    <row r="38" spans="2:14" ht="28.5" x14ac:dyDescent="0.25">
      <c r="B38" s="617"/>
      <c r="C38" s="623" t="s">
        <v>194</v>
      </c>
      <c r="D38" s="92" t="s">
        <v>195</v>
      </c>
      <c r="E38" s="118">
        <f>COUNT(payesh!E112:AR112,payesh!E126:AR126)</f>
        <v>0</v>
      </c>
    </row>
    <row r="39" spans="2:14" x14ac:dyDescent="0.25">
      <c r="B39" s="617"/>
      <c r="C39" s="621"/>
      <c r="D39" s="89" t="s">
        <v>188</v>
      </c>
      <c r="E39" s="114">
        <f>SUM(payesh!E112:AR112,payesh!E126:AR126)/1000</f>
        <v>0</v>
      </c>
    </row>
    <row r="40" spans="2:14" ht="28.5" x14ac:dyDescent="0.25">
      <c r="B40" s="617"/>
      <c r="C40" s="621"/>
      <c r="D40" s="89" t="s">
        <v>196</v>
      </c>
      <c r="E40" s="114" t="e">
        <f>AVERAGE(payesh!E115:AR115,payesh!E129:AR129)</f>
        <v>#DIV/0!</v>
      </c>
    </row>
    <row r="41" spans="2:14" ht="28.5" x14ac:dyDescent="0.25">
      <c r="B41" s="617"/>
      <c r="C41" s="621" t="s">
        <v>194</v>
      </c>
      <c r="D41" s="89" t="s">
        <v>102</v>
      </c>
      <c r="E41" s="114" t="e">
        <f>AVERAGE(payesh!E116:AR116,payesh!E129:AR129)</f>
        <v>#DIV/0!</v>
      </c>
    </row>
    <row r="42" spans="2:14" x14ac:dyDescent="0.25">
      <c r="B42" s="617"/>
      <c r="C42" s="621"/>
      <c r="D42" s="89" t="s">
        <v>197</v>
      </c>
      <c r="E42" s="114">
        <f>SUM(payesh!E117:AR117,payesh!E130:AR130)</f>
        <v>0</v>
      </c>
    </row>
    <row r="43" spans="2:14" x14ac:dyDescent="0.25">
      <c r="B43" s="617"/>
      <c r="C43" s="621"/>
      <c r="D43" s="89" t="s">
        <v>198</v>
      </c>
      <c r="E43" s="114" t="e">
        <f>E39/E42</f>
        <v>#DIV/0!</v>
      </c>
    </row>
    <row r="44" spans="2:14" ht="19.5" thickBot="1" x14ac:dyDescent="0.3">
      <c r="B44" s="617"/>
      <c r="C44" s="622"/>
      <c r="D44" s="91" t="s">
        <v>105</v>
      </c>
      <c r="E44" s="116" t="e">
        <f>AVERAGE(payesh!E144:AR144)</f>
        <v>#DIV/0!</v>
      </c>
    </row>
    <row r="45" spans="2:14" x14ac:dyDescent="0.25">
      <c r="B45" s="617"/>
      <c r="C45" s="624" t="s">
        <v>199</v>
      </c>
      <c r="D45" s="93" t="s">
        <v>200</v>
      </c>
      <c r="E45" s="118">
        <f>E39+E32+E25</f>
        <v>4000000</v>
      </c>
    </row>
    <row r="46" spans="2:14" ht="19.5" thickBot="1" x14ac:dyDescent="0.3">
      <c r="B46" s="618"/>
      <c r="C46" s="625"/>
      <c r="D46" s="94" t="s">
        <v>105</v>
      </c>
      <c r="E46" s="116" t="e">
        <f>AVERAGE(E44:E44,E37,E30)</f>
        <v>#DIV/0!</v>
      </c>
    </row>
    <row r="47" spans="2:14" ht="18.75" customHeight="1" x14ac:dyDescent="0.25">
      <c r="B47" s="583" t="s">
        <v>201</v>
      </c>
      <c r="C47" s="584"/>
      <c r="D47" s="95" t="s">
        <v>202</v>
      </c>
      <c r="E47" s="119">
        <f>COUNTIF(payesh!E8:AR8,"غیرفعال")</f>
        <v>0</v>
      </c>
    </row>
    <row r="48" spans="2:14" x14ac:dyDescent="0.25">
      <c r="B48" s="585"/>
      <c r="C48" s="586"/>
      <c r="D48" s="96" t="s">
        <v>203</v>
      </c>
      <c r="E48" s="120">
        <f>SUMIF(payesh!E8:AR8,"غیرفعال",payesh!E22:AR22)</f>
        <v>0</v>
      </c>
    </row>
    <row r="49" spans="2:5" x14ac:dyDescent="0.25">
      <c r="B49" s="585"/>
      <c r="C49" s="586"/>
      <c r="D49" s="96" t="s">
        <v>204</v>
      </c>
      <c r="E49" s="120">
        <f>SUMIF(payesh!E8:AR8,"غیرفعال",payesh!E62:AR62)/1000</f>
        <v>0</v>
      </c>
    </row>
    <row r="50" spans="2:5" x14ac:dyDescent="0.25">
      <c r="B50" s="585"/>
      <c r="C50" s="586"/>
      <c r="D50" s="96" t="s">
        <v>205</v>
      </c>
      <c r="E50" s="120">
        <f>SUMIF(payesh!E8:AR8,"غیرفعال",payesh!E68:AR68)</f>
        <v>0</v>
      </c>
    </row>
    <row r="51" spans="2:5" x14ac:dyDescent="0.25">
      <c r="B51" s="585"/>
      <c r="C51" s="586"/>
      <c r="D51" s="96" t="s">
        <v>206</v>
      </c>
      <c r="E51" s="120">
        <f>SUMIF(payesh!E8:AR8,"غیرفعال",payesh!E67:AR67)/1000</f>
        <v>0</v>
      </c>
    </row>
    <row r="52" spans="2:5" x14ac:dyDescent="0.25">
      <c r="B52" s="585"/>
      <c r="C52" s="586"/>
      <c r="D52" s="96" t="s">
        <v>207</v>
      </c>
      <c r="E52" s="120">
        <f>SUMIF(payesh!E8:AR8,"غیرفعال",payesh!E82:AR82)/1000</f>
        <v>0</v>
      </c>
    </row>
    <row r="53" spans="2:5" ht="19.5" thickBot="1" x14ac:dyDescent="0.3">
      <c r="B53" s="587"/>
      <c r="C53" s="588"/>
      <c r="D53" s="97" t="s">
        <v>105</v>
      </c>
      <c r="E53" s="121" t="e">
        <f>AVERAGEIF(payesh!E8:AR8,"غیرفعال",payesh!E136:AR136)</f>
        <v>#DIV/0!</v>
      </c>
    </row>
    <row r="54" spans="2:5" x14ac:dyDescent="0.25">
      <c r="B54" s="589" t="s">
        <v>208</v>
      </c>
      <c r="C54" s="590"/>
      <c r="D54" s="98" t="s">
        <v>209</v>
      </c>
      <c r="E54" s="122"/>
    </row>
    <row r="55" spans="2:5" x14ac:dyDescent="0.25">
      <c r="B55" s="591"/>
      <c r="C55" s="592"/>
      <c r="D55" s="99" t="s">
        <v>210</v>
      </c>
      <c r="E55" s="123"/>
    </row>
    <row r="56" spans="2:5" x14ac:dyDescent="0.25">
      <c r="B56" s="591"/>
      <c r="C56" s="592"/>
      <c r="D56" s="99" t="s">
        <v>211</v>
      </c>
      <c r="E56" s="123"/>
    </row>
    <row r="57" spans="2:5" x14ac:dyDescent="0.25">
      <c r="B57" s="591"/>
      <c r="C57" s="592"/>
      <c r="D57" s="100" t="s">
        <v>212</v>
      </c>
      <c r="E57" s="123"/>
    </row>
    <row r="58" spans="2:5" x14ac:dyDescent="0.25">
      <c r="B58" s="591"/>
      <c r="C58" s="592"/>
      <c r="D58" s="100" t="s">
        <v>213</v>
      </c>
      <c r="E58" s="123"/>
    </row>
    <row r="59" spans="2:5" x14ac:dyDescent="0.25">
      <c r="B59" s="591"/>
      <c r="C59" s="592"/>
      <c r="D59" s="100" t="s">
        <v>214</v>
      </c>
      <c r="E59" s="123"/>
    </row>
    <row r="60" spans="2:5" x14ac:dyDescent="0.25">
      <c r="B60" s="591"/>
      <c r="C60" s="592"/>
      <c r="D60" s="99" t="s">
        <v>215</v>
      </c>
      <c r="E60" s="123"/>
    </row>
    <row r="61" spans="2:5" x14ac:dyDescent="0.25">
      <c r="B61" s="591"/>
      <c r="C61" s="592"/>
      <c r="D61" s="99" t="s">
        <v>216</v>
      </c>
      <c r="E61" s="123"/>
    </row>
    <row r="62" spans="2:5" x14ac:dyDescent="0.25">
      <c r="B62" s="591"/>
      <c r="C62" s="592"/>
      <c r="D62" s="99" t="s">
        <v>217</v>
      </c>
      <c r="E62" s="123"/>
    </row>
    <row r="63" spans="2:5" ht="19.5" thickBot="1" x14ac:dyDescent="0.3">
      <c r="B63" s="593"/>
      <c r="C63" s="594"/>
      <c r="D63" s="101" t="s">
        <v>218</v>
      </c>
      <c r="E63" s="124"/>
    </row>
  </sheetData>
  <sheetProtection algorithmName="SHA-512" hashValue="rdX2xw3qP1G0LYLl+J9eFz5ZV4KjIwfk2OUNa5G/hoLxER/PDhlAKc+Y9FIh+UBb2Ct/htAMePqgsYdxuhBz/Q==" saltValue="s2LF/sMunokvL67Wb/wOc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0"/>
  <sheetViews>
    <sheetView rightToLeft="1" tabSelected="1" workbookViewId="0">
      <selection activeCell="E9" sqref="E9"/>
    </sheetView>
  </sheetViews>
  <sheetFormatPr defaultColWidth="9.140625" defaultRowHeight="17.25" x14ac:dyDescent="0.25"/>
  <cols>
    <col min="1" max="1" width="2.42578125" style="62" customWidth="1"/>
    <col min="2" max="2" width="11.85546875" style="62" customWidth="1"/>
    <col min="3" max="3" width="13" style="62" customWidth="1"/>
    <col min="4" max="6" width="9.140625" style="62"/>
    <col min="7" max="7" width="18.7109375" style="62" customWidth="1"/>
    <col min="8" max="11" width="9.140625" style="62"/>
    <col min="12" max="12" width="17.85546875" style="62" customWidth="1"/>
    <col min="13" max="13" width="13.85546875" style="62" customWidth="1"/>
    <col min="14" max="17" width="9.140625" style="62"/>
    <col min="18" max="18" width="15.140625" style="62" customWidth="1"/>
    <col min="19" max="19" width="14" style="62" customWidth="1"/>
    <col min="20" max="23" width="14.28515625" style="62" customWidth="1"/>
    <col min="24" max="16384" width="9.140625" style="62"/>
  </cols>
  <sheetData>
    <row r="2" spans="2:23" ht="18" thickBot="1" x14ac:dyDescent="0.3"/>
    <row r="3" spans="2:23" ht="19.5" thickBot="1" x14ac:dyDescent="0.3">
      <c r="B3" s="403" t="s">
        <v>71</v>
      </c>
      <c r="C3" s="404" t="s">
        <v>33</v>
      </c>
      <c r="D3" s="405" t="s">
        <v>202</v>
      </c>
      <c r="G3" s="138" t="s">
        <v>89</v>
      </c>
      <c r="H3" s="139" t="s">
        <v>202</v>
      </c>
    </row>
    <row r="4" spans="2:23" ht="18.75" thickBot="1" x14ac:dyDescent="0.3">
      <c r="B4" s="145">
        <v>1</v>
      </c>
      <c r="C4" s="146" t="s">
        <v>440</v>
      </c>
      <c r="D4" s="136">
        <f>COUNTIF(payesh!$E$5:$AR$5,"سرابباغ")</f>
        <v>7</v>
      </c>
      <c r="E4" s="147"/>
      <c r="G4" s="140" t="s">
        <v>236</v>
      </c>
      <c r="H4" s="141">
        <f>COUNTIF($D$4:$D$28,"1")</f>
        <v>1</v>
      </c>
      <c r="K4" s="413" t="s">
        <v>71</v>
      </c>
      <c r="L4" s="414" t="s">
        <v>10</v>
      </c>
      <c r="M4" s="415" t="s">
        <v>425</v>
      </c>
      <c r="N4" s="416" t="s">
        <v>426</v>
      </c>
      <c r="Q4" s="413" t="s">
        <v>71</v>
      </c>
      <c r="R4" s="414" t="s">
        <v>219</v>
      </c>
      <c r="S4" s="414" t="s">
        <v>425</v>
      </c>
      <c r="T4" s="416" t="s">
        <v>202</v>
      </c>
    </row>
    <row r="5" spans="2:23" ht="18" x14ac:dyDescent="0.25">
      <c r="B5" s="137">
        <v>2</v>
      </c>
      <c r="C5" s="144" t="s">
        <v>441</v>
      </c>
      <c r="D5" s="135">
        <f>COUNTIF(payesh!$E$5:$AR$5,"ژیور")</f>
        <v>2</v>
      </c>
      <c r="E5" s="147"/>
      <c r="G5" s="127" t="s">
        <v>237</v>
      </c>
      <c r="H5" s="142">
        <f>COUNTIF($D$4:$D$28,"2")</f>
        <v>2</v>
      </c>
      <c r="K5" s="417">
        <v>1</v>
      </c>
      <c r="L5" s="418" t="s">
        <v>464</v>
      </c>
      <c r="M5" s="486">
        <v>9185518763</v>
      </c>
      <c r="N5" s="141">
        <f>COUNTIF(payesh!$E$13:$AR$13,"معصومه سبزواری")</f>
        <v>10</v>
      </c>
      <c r="Q5" s="417">
        <v>1</v>
      </c>
      <c r="R5" s="418" t="s">
        <v>463</v>
      </c>
      <c r="S5" s="486">
        <v>9182392004</v>
      </c>
      <c r="T5" s="141">
        <f>COUNTIF(payesh!$E$11:$AR$11,"زینب دارابیان")</f>
        <v>20</v>
      </c>
    </row>
    <row r="6" spans="2:23" ht="18" x14ac:dyDescent="0.25">
      <c r="B6" s="137">
        <v>3</v>
      </c>
      <c r="C6" s="144" t="s">
        <v>444</v>
      </c>
      <c r="D6" s="135">
        <f>COUNTIF(payesh!$E$5:$AR$5,"چم کبود")</f>
        <v>4</v>
      </c>
      <c r="E6" s="147"/>
      <c r="G6" s="127" t="s">
        <v>238</v>
      </c>
      <c r="H6" s="142">
        <f>COUNTIF($D$4:$D$28,"3")</f>
        <v>0</v>
      </c>
      <c r="K6" s="419">
        <v>2</v>
      </c>
      <c r="L6" s="420" t="s">
        <v>465</v>
      </c>
      <c r="M6" s="487">
        <v>9184635991</v>
      </c>
      <c r="N6" s="142">
        <f>COUNTIF(payesh!$E$13:$AR$13,"فرزانه نوروزی")</f>
        <v>10</v>
      </c>
      <c r="Q6" s="419">
        <v>2</v>
      </c>
      <c r="R6" s="420"/>
      <c r="S6" s="487"/>
      <c r="T6" s="142">
        <f>COUNTIF(payesh!$E$11:$AR$11,"نام")</f>
        <v>0</v>
      </c>
    </row>
    <row r="7" spans="2:23" ht="18" x14ac:dyDescent="0.25">
      <c r="B7" s="137">
        <v>4</v>
      </c>
      <c r="C7" s="144" t="s">
        <v>442</v>
      </c>
      <c r="D7" s="135">
        <f>COUNTIF(payesh!$E$5:$AR$5,"بانکت")</f>
        <v>2</v>
      </c>
      <c r="E7" s="147"/>
      <c r="G7" s="127" t="s">
        <v>239</v>
      </c>
      <c r="H7" s="142">
        <f>COUNTIF($D$4:$D$28,"4")</f>
        <v>2</v>
      </c>
      <c r="K7" s="419">
        <v>3</v>
      </c>
      <c r="L7" s="420"/>
      <c r="M7" s="487"/>
      <c r="N7" s="142">
        <f>COUNTIF(payesh!$E$13:$AR$13,"نام")</f>
        <v>0</v>
      </c>
      <c r="Q7" s="419">
        <v>3</v>
      </c>
      <c r="R7" s="420"/>
      <c r="S7" s="487"/>
      <c r="T7" s="142">
        <f>COUNTIF(payesh!$E$11:$AR$11,"نام")</f>
        <v>0</v>
      </c>
    </row>
    <row r="8" spans="2:23" ht="18" x14ac:dyDescent="0.25">
      <c r="B8" s="137">
        <v>5</v>
      </c>
      <c r="C8" s="144" t="s">
        <v>443</v>
      </c>
      <c r="D8" s="135">
        <f>COUNTIF(payesh!$E$5:$AR$5,"هفت چشمه")</f>
        <v>1</v>
      </c>
      <c r="E8" s="147"/>
      <c r="G8" s="127" t="s">
        <v>240</v>
      </c>
      <c r="H8" s="142">
        <f>COUNTIF($D$4:$D$28,"5")</f>
        <v>0</v>
      </c>
      <c r="K8" s="419">
        <v>4</v>
      </c>
      <c r="L8" s="420"/>
      <c r="M8" s="487"/>
      <c r="N8" s="142">
        <f>COUNTIF(payesh!$E$13:$AR$13,"نام")</f>
        <v>0</v>
      </c>
      <c r="Q8" s="419">
        <v>4</v>
      </c>
      <c r="R8" s="420"/>
      <c r="S8" s="487"/>
      <c r="T8" s="142">
        <f>COUNTIF(payesh!$E$11:$AR$11,"نام")</f>
        <v>0</v>
      </c>
    </row>
    <row r="9" spans="2:23" ht="18.75" thickBot="1" x14ac:dyDescent="0.3">
      <c r="B9" s="137">
        <v>6</v>
      </c>
      <c r="C9" s="144" t="s">
        <v>583</v>
      </c>
      <c r="D9" s="135">
        <f>COUNTIF(payesh!$E$5:$AR$5,"پشت قلعه")</f>
        <v>4</v>
      </c>
      <c r="E9" s="147"/>
      <c r="G9" s="127" t="s">
        <v>241</v>
      </c>
      <c r="H9" s="142">
        <f>COUNTIF($D$4:$D$28,"6")</f>
        <v>0</v>
      </c>
      <c r="K9" s="419">
        <v>5</v>
      </c>
      <c r="L9" s="420"/>
      <c r="M9" s="487"/>
      <c r="N9" s="142">
        <f>COUNTIF(payesh!$E$13:$AR$13,"نام")</f>
        <v>0</v>
      </c>
      <c r="Q9" s="421">
        <v>5</v>
      </c>
      <c r="R9" s="422"/>
      <c r="S9" s="488"/>
      <c r="T9" s="143">
        <f>COUNTIF(payesh!$E$11:$AR$11,"نام")</f>
        <v>0</v>
      </c>
    </row>
    <row r="10" spans="2:23" ht="18.75" thickBot="1" x14ac:dyDescent="0.3">
      <c r="B10" s="137">
        <v>7</v>
      </c>
      <c r="C10" s="144"/>
      <c r="D10" s="135">
        <f>COUNTIF(payesh!$E$5:$AR$5,"نام روستا")</f>
        <v>0</v>
      </c>
      <c r="E10" s="147"/>
      <c r="G10" s="127" t="s">
        <v>242</v>
      </c>
      <c r="H10" s="142">
        <f>COUNTIF($D$4:$D$28,"7")</f>
        <v>1</v>
      </c>
      <c r="K10" s="419">
        <v>6</v>
      </c>
      <c r="L10" s="420"/>
      <c r="M10" s="487"/>
      <c r="N10" s="142">
        <f>COUNTIF(payesh!$E$13:$AR$13,"نام")</f>
        <v>0</v>
      </c>
      <c r="Q10" s="628" t="s">
        <v>106</v>
      </c>
      <c r="R10" s="629"/>
      <c r="S10" s="629"/>
      <c r="T10" s="424">
        <f>SUM(T5:T9)</f>
        <v>20</v>
      </c>
    </row>
    <row r="11" spans="2:23" ht="18" x14ac:dyDescent="0.25">
      <c r="B11" s="137">
        <v>8</v>
      </c>
      <c r="C11" s="144"/>
      <c r="D11" s="135">
        <f>COUNTIF(payesh!$E$5:$AR$5,"نام روستا")</f>
        <v>0</v>
      </c>
      <c r="E11" s="147"/>
      <c r="G11" s="127" t="s">
        <v>243</v>
      </c>
      <c r="H11" s="142">
        <f>COUNTIF($D$4:$D$28,"8")</f>
        <v>0</v>
      </c>
      <c r="K11" s="419">
        <v>7</v>
      </c>
      <c r="L11" s="420"/>
      <c r="M11" s="487"/>
      <c r="N11" s="142">
        <f>COUNTIF(payesh!$E$13:$AR$13,"نام")</f>
        <v>0</v>
      </c>
    </row>
    <row r="12" spans="2:23" ht="18.75" thickBot="1" x14ac:dyDescent="0.3">
      <c r="B12" s="137">
        <v>9</v>
      </c>
      <c r="C12" s="144"/>
      <c r="D12" s="135">
        <f>COUNTIF(payesh!$E$5:$AR$5,"نام روستا")</f>
        <v>0</v>
      </c>
      <c r="E12" s="147"/>
      <c r="G12" s="127" t="s">
        <v>244</v>
      </c>
      <c r="H12" s="142">
        <f>COUNTIF($D$4:$D$28,"9")</f>
        <v>0</v>
      </c>
      <c r="K12" s="419">
        <v>8</v>
      </c>
      <c r="L12" s="420"/>
      <c r="M12" s="487"/>
      <c r="N12" s="142">
        <f>COUNTIF(payesh!$E$13:$AR$13,"نام")</f>
        <v>0</v>
      </c>
    </row>
    <row r="13" spans="2:23" ht="18" x14ac:dyDescent="0.25">
      <c r="B13" s="137">
        <v>10</v>
      </c>
      <c r="C13" s="144"/>
      <c r="D13" s="135">
        <f>COUNTIF(payesh!$E$5:$AR$5,"نام روستا")</f>
        <v>0</v>
      </c>
      <c r="E13" s="147"/>
      <c r="G13" s="127" t="s">
        <v>245</v>
      </c>
      <c r="H13" s="142">
        <f>COUNTIF($D$4:$D$28,"10")</f>
        <v>0</v>
      </c>
      <c r="K13" s="419">
        <v>9</v>
      </c>
      <c r="L13" s="420"/>
      <c r="M13" s="487"/>
      <c r="N13" s="142">
        <f>COUNTIF(payesh!$E$13:$AR$13,"نام")</f>
        <v>0</v>
      </c>
      <c r="Q13" s="508" t="s">
        <v>71</v>
      </c>
      <c r="R13" s="509" t="s">
        <v>614</v>
      </c>
      <c r="S13" s="510" t="s">
        <v>202</v>
      </c>
      <c r="T13" s="418" t="s">
        <v>615</v>
      </c>
      <c r="U13" s="511" t="s">
        <v>616</v>
      </c>
      <c r="V13" s="418" t="s">
        <v>617</v>
      </c>
      <c r="W13" s="512" t="s">
        <v>618</v>
      </c>
    </row>
    <row r="14" spans="2:23" ht="18" x14ac:dyDescent="0.25">
      <c r="B14" s="137">
        <v>11</v>
      </c>
      <c r="C14" s="144"/>
      <c r="D14" s="135">
        <f>COUNTIF(payesh!$E$5:$AR$5,"نام روستا")</f>
        <v>0</v>
      </c>
      <c r="E14" s="147"/>
      <c r="G14" s="127" t="s">
        <v>246</v>
      </c>
      <c r="H14" s="142">
        <f>COUNTIF($D$4:$D$28,"11")</f>
        <v>0</v>
      </c>
      <c r="K14" s="419">
        <v>10</v>
      </c>
      <c r="L14" s="420"/>
      <c r="M14" s="487"/>
      <c r="N14" s="142">
        <f>COUNTIF(payesh!$E$13:$AR$13,"نام")</f>
        <v>0</v>
      </c>
      <c r="Q14" s="419">
        <v>1</v>
      </c>
      <c r="R14" s="420" t="s">
        <v>440</v>
      </c>
      <c r="S14" s="513">
        <f>COUNTIF(payesh!$E$80:$AH$80,"سرابباغ")</f>
        <v>13</v>
      </c>
      <c r="T14" s="175">
        <f>COUNTIFS(payesh!$E$80:$AH$80,"*سرابباغ*",payesh!$E$84:$AH$84,"&lt;100")</f>
        <v>8</v>
      </c>
      <c r="U14" s="514">
        <f>COUNTIFS(payesh!$E$80:$AH$80,"*سرابباغ*",payesh!$E$86:$AH$86,"&gt;100")</f>
        <v>8</v>
      </c>
      <c r="V14" s="420">
        <f>S14-U14</f>
        <v>5</v>
      </c>
      <c r="W14" s="515">
        <f>SUMIF(payesh!$E$80:$AH$80,"*سرابباغ*",payesh!$E$86:$AH$86)</f>
        <v>1560000000</v>
      </c>
    </row>
    <row r="15" spans="2:23" ht="18" x14ac:dyDescent="0.25">
      <c r="B15" s="137">
        <v>12</v>
      </c>
      <c r="C15" s="144"/>
      <c r="D15" s="135">
        <f>COUNTIF(payesh!$E$5:$AR$5,"نام روستا")</f>
        <v>0</v>
      </c>
      <c r="E15" s="147"/>
      <c r="G15" s="127" t="s">
        <v>247</v>
      </c>
      <c r="H15" s="142">
        <f>COUNTIF($D$4:$D$28,"12")</f>
        <v>0</v>
      </c>
      <c r="K15" s="419">
        <v>11</v>
      </c>
      <c r="L15" s="420"/>
      <c r="M15" s="487"/>
      <c r="N15" s="142">
        <f>COUNTIF(payesh!$E$13:$AR$13,"نام")</f>
        <v>0</v>
      </c>
      <c r="Q15" s="419">
        <v>2</v>
      </c>
      <c r="R15" s="420" t="s">
        <v>438</v>
      </c>
      <c r="S15" s="513">
        <f>COUNTIF(payesh!$E$80:$AH$80,"ابدانان")</f>
        <v>7</v>
      </c>
      <c r="T15" s="175">
        <f>COUNTIFS(payesh!$E$80:$AH$80,"*ابدانان*",payesh!$E$84:$AH$84,"&lt;100")</f>
        <v>5</v>
      </c>
      <c r="U15" s="514">
        <f>COUNTIFS(payesh!$E$80:$AH$80,"*ابدانان*",payesh!$E$86:$AH$86,"&gt;100")</f>
        <v>5</v>
      </c>
      <c r="V15" s="420">
        <f t="shared" ref="V15:V16" si="0">S15-U15</f>
        <v>2</v>
      </c>
      <c r="W15" s="515">
        <f>SUMIF(payesh!$E$80:$AH$80,"*ابدانان*",payesh!$E$86:$AH$86)</f>
        <v>1010000000</v>
      </c>
    </row>
    <row r="16" spans="2:23" ht="18" x14ac:dyDescent="0.25">
      <c r="B16" s="137">
        <v>13</v>
      </c>
      <c r="C16" s="144"/>
      <c r="D16" s="135">
        <f>COUNTIF(payesh!$E$5:$AR$5,"نام روستا")</f>
        <v>0</v>
      </c>
      <c r="E16" s="147"/>
      <c r="G16" s="127" t="s">
        <v>248</v>
      </c>
      <c r="H16" s="142">
        <f>COUNTIF($D$4:$D$28,"13")</f>
        <v>0</v>
      </c>
      <c r="K16" s="419">
        <v>12</v>
      </c>
      <c r="L16" s="420"/>
      <c r="M16" s="487"/>
      <c r="N16" s="142">
        <f>COUNTIF(payesh!$E$13:$AR$13,"نام")</f>
        <v>0</v>
      </c>
      <c r="Q16" s="419">
        <v>3</v>
      </c>
      <c r="R16" s="420"/>
      <c r="S16" s="513">
        <f>COUNTIF(payesh!$E$80:$AH$80,"نام")</f>
        <v>0</v>
      </c>
      <c r="T16" s="175">
        <f>COUNTIFS(payesh!$E$80:$AH$80,"*نام*",payesh!$E$84:$AH$84,"&lt;100")</f>
        <v>0</v>
      </c>
      <c r="U16" s="514">
        <f>COUNTIFS(payesh!$E$80:$AH$80,"*نام*",payesh!$E$86:$AH$86,"&gt;100")</f>
        <v>0</v>
      </c>
      <c r="V16" s="420">
        <f t="shared" si="0"/>
        <v>0</v>
      </c>
      <c r="W16" s="515">
        <f>SUMIF(payesh!$E$80:$AH$80,"*نام*",payesh!$E$86:$AH$86)</f>
        <v>0</v>
      </c>
    </row>
    <row r="17" spans="2:23" ht="18" x14ac:dyDescent="0.25">
      <c r="B17" s="137">
        <v>14</v>
      </c>
      <c r="C17" s="144"/>
      <c r="D17" s="135">
        <f>COUNTIF(payesh!$E$5:$AR$5,"نام روستا")</f>
        <v>0</v>
      </c>
      <c r="E17" s="147"/>
      <c r="G17" s="127" t="s">
        <v>249</v>
      </c>
      <c r="H17" s="142">
        <f>COUNTIF($D$4:$D$28,"14")</f>
        <v>0</v>
      </c>
      <c r="K17" s="419">
        <v>13</v>
      </c>
      <c r="L17" s="420"/>
      <c r="M17" s="487"/>
      <c r="N17" s="142">
        <f>COUNTIF(payesh!$E$13:$AR$13,"نام")</f>
        <v>0</v>
      </c>
      <c r="Q17" s="419">
        <v>4</v>
      </c>
      <c r="R17" s="420"/>
      <c r="S17" s="513">
        <f>COUNTIF(payesh!$E$80:$AH$80,"نام")</f>
        <v>0</v>
      </c>
      <c r="T17" s="175">
        <f>COUNTIFS(payesh!$E$80:$AH$80,"*نام*",payesh!$E$84:$AH$84,"&lt;100")</f>
        <v>0</v>
      </c>
      <c r="U17" s="514">
        <f>COUNTIFS(payesh!$E$80:$AH$80,"*نام*",payesh!$E$86:$AH$86,"&gt;100")</f>
        <v>0</v>
      </c>
      <c r="V17" s="420">
        <f t="shared" ref="V17:V18" si="1">S17-U17</f>
        <v>0</v>
      </c>
      <c r="W17" s="515">
        <f>SUMIF(payesh!$E$80:$AH$80,"*نام*",payesh!$E$86:$AH$86)</f>
        <v>0</v>
      </c>
    </row>
    <row r="18" spans="2:23" ht="18" x14ac:dyDescent="0.25">
      <c r="B18" s="137">
        <v>15</v>
      </c>
      <c r="C18" s="144"/>
      <c r="D18" s="135">
        <f>COUNTIF(payesh!$E$5:$AR$5,"نام روستا")</f>
        <v>0</v>
      </c>
      <c r="E18" s="147"/>
      <c r="G18" s="127" t="s">
        <v>250</v>
      </c>
      <c r="H18" s="142">
        <f>COUNTIF($D$4:$D$28,"15")</f>
        <v>0</v>
      </c>
      <c r="K18" s="419">
        <v>14</v>
      </c>
      <c r="L18" s="420"/>
      <c r="M18" s="487"/>
      <c r="N18" s="142">
        <f>COUNTIF(payesh!$E$13:$AR$13,"نام")</f>
        <v>0</v>
      </c>
      <c r="Q18" s="419">
        <v>5</v>
      </c>
      <c r="R18" s="420"/>
      <c r="S18" s="513">
        <f>COUNTIF(payesh!$E$80:$AH$80,"نام")</f>
        <v>0</v>
      </c>
      <c r="T18" s="175">
        <f>COUNTIFS(payesh!$E$80:$AH$80,"*نام*",payesh!$E$84:$AH$84,"&lt;100")</f>
        <v>0</v>
      </c>
      <c r="U18" s="514">
        <f>COUNTIFS(payesh!$E$80:$AH$80,"*نام*",payesh!$E$86:$AH$86,"&gt;100")</f>
        <v>0</v>
      </c>
      <c r="V18" s="420">
        <f t="shared" si="1"/>
        <v>0</v>
      </c>
      <c r="W18" s="515">
        <f>SUMIF(payesh!$E$80:$AH$80,"*نام*",payesh!$E$86:$AH$86)</f>
        <v>0</v>
      </c>
    </row>
    <row r="19" spans="2:23" ht="18.75" thickBot="1" x14ac:dyDescent="0.3">
      <c r="B19" s="137">
        <v>16</v>
      </c>
      <c r="C19" s="144"/>
      <c r="D19" s="135">
        <f>COUNTIF(payesh!$E$5:$AR$5,"نام روستا")</f>
        <v>0</v>
      </c>
      <c r="E19" s="147"/>
      <c r="G19" s="127" t="s">
        <v>251</v>
      </c>
      <c r="H19" s="142">
        <f>COUNTIF($D$4:$D$28,"16")</f>
        <v>0</v>
      </c>
      <c r="K19" s="421">
        <v>15</v>
      </c>
      <c r="L19" s="422"/>
      <c r="M19" s="488"/>
      <c r="N19" s="143">
        <f>COUNTIF(payesh!$E$13:$AR$13,"نام")</f>
        <v>0</v>
      </c>
      <c r="Q19" s="633" t="s">
        <v>106</v>
      </c>
      <c r="R19" s="634"/>
      <c r="S19" s="516">
        <f>SUM(S14:S18)</f>
        <v>20</v>
      </c>
      <c r="T19" s="517">
        <f>SUM(T14:T18)</f>
        <v>13</v>
      </c>
      <c r="U19" s="518">
        <f t="shared" ref="U19:V19" si="2">SUM(U14:U18)</f>
        <v>13</v>
      </c>
      <c r="V19" s="177">
        <f t="shared" si="2"/>
        <v>7</v>
      </c>
      <c r="W19" s="519">
        <f>SUM(W14:W18)</f>
        <v>2570000000</v>
      </c>
    </row>
    <row r="20" spans="2:23" ht="19.5" thickBot="1" x14ac:dyDescent="0.3">
      <c r="B20" s="137">
        <v>17</v>
      </c>
      <c r="C20" s="144"/>
      <c r="D20" s="135">
        <f>COUNTIF(payesh!$E$5:$AR$5,"نام روستا")</f>
        <v>0</v>
      </c>
      <c r="E20" s="147"/>
      <c r="G20" s="127" t="s">
        <v>252</v>
      </c>
      <c r="H20" s="142">
        <f>COUNTIF($D$4:$D$28,"17")</f>
        <v>0</v>
      </c>
      <c r="K20" s="630" t="s">
        <v>106</v>
      </c>
      <c r="L20" s="631"/>
      <c r="M20" s="632"/>
      <c r="N20" s="423">
        <f>SUM(N5:N19)</f>
        <v>20</v>
      </c>
      <c r="Q20" s="508" t="s">
        <v>71</v>
      </c>
      <c r="R20" s="509" t="s">
        <v>614</v>
      </c>
      <c r="S20" s="418" t="s">
        <v>615</v>
      </c>
      <c r="T20" s="511" t="s">
        <v>619</v>
      </c>
      <c r="U20" s="512" t="s">
        <v>618</v>
      </c>
    </row>
    <row r="21" spans="2:23" ht="18" x14ac:dyDescent="0.25">
      <c r="B21" s="137">
        <v>18</v>
      </c>
      <c r="C21" s="144"/>
      <c r="D21" s="135">
        <f>COUNTIF(payesh!$E$5:$AR$5,"نام روستا")</f>
        <v>0</v>
      </c>
      <c r="E21" s="147"/>
      <c r="G21" s="127" t="s">
        <v>253</v>
      </c>
      <c r="H21" s="142">
        <f>COUNTIF($D$4:$D$28,"18")</f>
        <v>0</v>
      </c>
      <c r="Q21" s="419">
        <v>1</v>
      </c>
      <c r="R21" s="420" t="s">
        <v>440</v>
      </c>
      <c r="S21" s="175">
        <f>COUNTIFS(payesh!$E$80:$AH$80,"*سرابباغ*",payesh!$E$97:$AH$97,"&lt;100")</f>
        <v>4</v>
      </c>
      <c r="T21" s="514">
        <f>COUNTIFS(payesh!$E$80:$AH$80,"*سرابباغ*",payesh!$E$99:$AH$99,"&gt;100")</f>
        <v>4</v>
      </c>
      <c r="U21" s="515">
        <f>SUMIF(payesh!$E$80:$AH$80,"*سرابباغ*",payesh!$E$99:$AH$99)</f>
        <v>1430000000</v>
      </c>
    </row>
    <row r="22" spans="2:23" ht="18" x14ac:dyDescent="0.25">
      <c r="B22" s="137">
        <v>19</v>
      </c>
      <c r="C22" s="144"/>
      <c r="D22" s="135">
        <f>COUNTIF(payesh!$E$5:$AR$5,"نام روستا")</f>
        <v>0</v>
      </c>
      <c r="E22" s="147"/>
      <c r="G22" s="127" t="s">
        <v>254</v>
      </c>
      <c r="H22" s="142">
        <f>COUNTIF($D$4:$D$28,"19")</f>
        <v>0</v>
      </c>
      <c r="Q22" s="419">
        <v>2</v>
      </c>
      <c r="R22" s="420" t="s">
        <v>438</v>
      </c>
      <c r="S22" s="175">
        <f>COUNTIFS(payesh!$E$80:$AH$80,"*ابدانان*",payesh!$E$97:$AH$97,"&lt;100")</f>
        <v>0</v>
      </c>
      <c r="T22" s="514">
        <f>COUNTIFS(payesh!$E$80:$AH$80,"*ابدانان*",payesh!$E$99:$AH$99,"&gt;100")</f>
        <v>0</v>
      </c>
      <c r="U22" s="515">
        <f>SUMIF(payesh!$E$80:$AH$80,"*ابدانان*",payesh!$E$99:$AH$99)</f>
        <v>0</v>
      </c>
    </row>
    <row r="23" spans="2:23" ht="18.75" thickBot="1" x14ac:dyDescent="0.3">
      <c r="B23" s="137">
        <v>20</v>
      </c>
      <c r="C23" s="144"/>
      <c r="D23" s="135">
        <f>COUNTIF(payesh!$E$5:$AR$5,"نام روستا")</f>
        <v>0</v>
      </c>
      <c r="E23" s="147"/>
      <c r="G23" s="128" t="s">
        <v>255</v>
      </c>
      <c r="H23" s="143">
        <f>COUNTIF($D$4:$D$28,"20")</f>
        <v>0</v>
      </c>
      <c r="Q23" s="419">
        <v>3</v>
      </c>
      <c r="R23" s="420"/>
      <c r="S23" s="175">
        <f>COUNTIFS(payesh!$E$80:$AH$80,"*نام*",payesh!$E$97:$AH$97,"&lt;100")</f>
        <v>0</v>
      </c>
      <c r="T23" s="514">
        <f>COUNTIFS(payesh!$E$80:$AH$80,"*نام*",payesh!$E$99:$AH$99,"&gt;100")</f>
        <v>0</v>
      </c>
      <c r="U23" s="515">
        <f>SUMIF(payesh!$E$80:$AH$80,"*نام*",payesh!$E$99:$AH$99)</f>
        <v>0</v>
      </c>
    </row>
    <row r="24" spans="2:23" ht="19.5" thickBot="1" x14ac:dyDescent="0.3">
      <c r="B24" s="137">
        <v>21</v>
      </c>
      <c r="C24" s="144"/>
      <c r="D24" s="135">
        <f>COUNTIF(payesh!$E$5:$AR$5,"نام روستا")</f>
        <v>0</v>
      </c>
      <c r="E24" s="147"/>
      <c r="G24" s="138" t="s">
        <v>106</v>
      </c>
      <c r="H24" s="139">
        <f>SUM(H4:H23)</f>
        <v>6</v>
      </c>
      <c r="Q24" s="419">
        <v>4</v>
      </c>
      <c r="R24" s="420"/>
      <c r="S24" s="175">
        <f>COUNTIFS(payesh!$E$80:$AH$80,"*نام*",payesh!$E$97:$AH$97,"&lt;100")</f>
        <v>0</v>
      </c>
      <c r="T24" s="514">
        <f>COUNTIFS(payesh!$E$80:$AH$80,"*نام*",payesh!$E$99:$AH$99,"&gt;100")</f>
        <v>0</v>
      </c>
      <c r="U24" s="515">
        <f>SUMIF(payesh!$E$80:$AH$80,"*نام*",payesh!$E$99:$AH$99)</f>
        <v>0</v>
      </c>
    </row>
    <row r="25" spans="2:23" ht="18" x14ac:dyDescent="0.25">
      <c r="B25" s="137">
        <v>22</v>
      </c>
      <c r="C25" s="144"/>
      <c r="D25" s="135">
        <f>COUNTIF(payesh!$E$5:$AR$5,"نام روستا")</f>
        <v>0</v>
      </c>
      <c r="E25" s="147"/>
      <c r="Q25" s="419">
        <v>5</v>
      </c>
      <c r="R25" s="420"/>
      <c r="S25" s="175">
        <f>COUNTIFS(payesh!$E$80:$AH$80,"*نام*",payesh!$E$97:$AH$97,"&lt;100")</f>
        <v>0</v>
      </c>
      <c r="T25" s="514">
        <f>COUNTIFS(payesh!$E$80:$AH$80,"*نام*",payesh!$E$99:$AH$99,"&gt;100")</f>
        <v>0</v>
      </c>
      <c r="U25" s="515">
        <f>SUMIF(payesh!$E$80:$AH$80,"*نام*",payesh!$E$99:$AH$99)</f>
        <v>0</v>
      </c>
    </row>
    <row r="26" spans="2:23" ht="18.75" thickBot="1" x14ac:dyDescent="0.3">
      <c r="B26" s="137">
        <v>23</v>
      </c>
      <c r="C26" s="144"/>
      <c r="D26" s="135">
        <f>COUNTIF(payesh!$E$5:$AR$5,"نام روستا")</f>
        <v>0</v>
      </c>
      <c r="E26" s="147"/>
      <c r="Q26" s="626" t="s">
        <v>106</v>
      </c>
      <c r="R26" s="627"/>
      <c r="S26" s="177">
        <f>SUM(S21:S25)</f>
        <v>4</v>
      </c>
      <c r="T26" s="520">
        <f t="shared" ref="T26" si="3">SUM(T21:T25)</f>
        <v>4</v>
      </c>
      <c r="U26" s="519">
        <f>SUM(U21:U25)</f>
        <v>1430000000</v>
      </c>
    </row>
    <row r="27" spans="2:23" ht="18" x14ac:dyDescent="0.25">
      <c r="B27" s="137">
        <v>24</v>
      </c>
      <c r="C27" s="144"/>
      <c r="D27" s="135">
        <f>COUNTIF(payesh!$E$5:$AR$5,"نام روستا")</f>
        <v>0</v>
      </c>
      <c r="E27" s="147"/>
      <c r="Q27" s="508" t="s">
        <v>71</v>
      </c>
      <c r="R27" s="509" t="s">
        <v>614</v>
      </c>
      <c r="S27" s="418" t="s">
        <v>615</v>
      </c>
      <c r="T27" s="511" t="s">
        <v>620</v>
      </c>
      <c r="U27" s="512" t="s">
        <v>618</v>
      </c>
    </row>
    <row r="28" spans="2:23" ht="18" x14ac:dyDescent="0.25">
      <c r="B28" s="137">
        <v>25</v>
      </c>
      <c r="C28" s="144"/>
      <c r="D28" s="135">
        <f>COUNTIF(payesh!$E$5:$AR$5,"نام روستا")</f>
        <v>0</v>
      </c>
      <c r="E28" s="147"/>
      <c r="Q28" s="419">
        <v>1</v>
      </c>
      <c r="R28" s="420" t="s">
        <v>440</v>
      </c>
      <c r="S28" s="175">
        <f>COUNTIFS(payesh!$E$80:$AH$80,"*سرابباغ*",payesh!$E$110:$AH$110,"&lt;100")</f>
        <v>0</v>
      </c>
      <c r="T28" s="514">
        <f>COUNTIFS(payesh!$E$80:$AH$80,"*سرابباغ*",payesh!$E$112:$AH$112,"&gt;100")</f>
        <v>0</v>
      </c>
      <c r="U28" s="515">
        <f>SUMIF(payesh!$E$80:$AH$80,"*سرابباغ*",payesh!$E$112:$AH$112)</f>
        <v>0</v>
      </c>
    </row>
    <row r="29" spans="2:23" ht="19.5" thickBot="1" x14ac:dyDescent="0.3">
      <c r="B29" s="406" t="s">
        <v>106</v>
      </c>
      <c r="C29" s="407">
        <f>SUM(D29:D29)</f>
        <v>20</v>
      </c>
      <c r="D29" s="408">
        <f>SUM(D4:D28)</f>
        <v>20</v>
      </c>
      <c r="Q29" s="419">
        <v>2</v>
      </c>
      <c r="R29" s="420" t="s">
        <v>438</v>
      </c>
      <c r="S29" s="175">
        <f>COUNTIFS(payesh!$E$80:$AH$80,"*ابدانان*",payesh!$E$110:$AH$110,"&lt;100")</f>
        <v>0</v>
      </c>
      <c r="T29" s="514">
        <f>COUNTIFS(payesh!$E$80:$AH$80,"*ابدانان*",payesh!$E$112:$AH$112,"&gt;100")</f>
        <v>0</v>
      </c>
      <c r="U29" s="515">
        <f>SUMIF(payesh!$E$80:$AH$80,"*ابدانان*",payesh!$E$112:$AH$112)</f>
        <v>0</v>
      </c>
    </row>
    <row r="30" spans="2:23" x14ac:dyDescent="0.25">
      <c r="Q30" s="419">
        <v>3</v>
      </c>
      <c r="R30" s="420"/>
      <c r="S30" s="175">
        <f>COUNTIFS(payesh!$E$80:$AH$80,"*نام*",payesh!$E$110:$AH$110,"&lt;100")</f>
        <v>0</v>
      </c>
      <c r="T30" s="514">
        <f>COUNTIFS(payesh!$E$80:$AH$80,"*نام*",payesh!$E$112:$AH$112,"&gt;100")</f>
        <v>0</v>
      </c>
      <c r="U30" s="515">
        <f>SUMIF(payesh!$E$80:$AH$80,"*نام*",payesh!$E$112:$AH$112)</f>
        <v>0</v>
      </c>
    </row>
    <row r="31" spans="2:23" x14ac:dyDescent="0.25">
      <c r="Q31" s="419">
        <v>4</v>
      </c>
      <c r="R31" s="420"/>
      <c r="S31" s="175">
        <f>COUNTIFS(payesh!$E$80:$AH$80,"*نام*",payesh!$E$110:$AH$110,"&lt;100")</f>
        <v>0</v>
      </c>
      <c r="T31" s="514">
        <f>COUNTIFS(payesh!$E$80:$AH$80,"*نام*",payesh!$E$112:$AH$112,"&gt;100")</f>
        <v>0</v>
      </c>
      <c r="U31" s="515">
        <f>SUMIF(payesh!$E$80:$AH$80,"*نام*",payesh!$E$112:$AH$112)</f>
        <v>0</v>
      </c>
    </row>
    <row r="32" spans="2:23" x14ac:dyDescent="0.25">
      <c r="Q32" s="419">
        <v>5</v>
      </c>
      <c r="R32" s="420"/>
      <c r="S32" s="175">
        <f>COUNTIFS(payesh!$E$80:$AH$80,"*نام*",payesh!$E$110:$AH$110,"&lt;100")</f>
        <v>0</v>
      </c>
      <c r="T32" s="514">
        <f>COUNTIFS(payesh!$E$80:$AH$80,"*نام*",payesh!$E$112:$AH$112,"&gt;100")</f>
        <v>0</v>
      </c>
      <c r="U32" s="515">
        <f>SUMIF(payesh!$E$80:$AH$80,"*نام*",payesh!$E$112:$AH$112)</f>
        <v>0</v>
      </c>
    </row>
    <row r="33" spans="17:21" ht="18.75" thickBot="1" x14ac:dyDescent="0.3">
      <c r="Q33" s="626" t="s">
        <v>106</v>
      </c>
      <c r="R33" s="627"/>
      <c r="S33" s="177">
        <f>SUM(S28:S32)</f>
        <v>0</v>
      </c>
      <c r="T33" s="520">
        <f t="shared" ref="T33" si="4">SUM(T28:T32)</f>
        <v>0</v>
      </c>
      <c r="U33" s="519">
        <f>SUM(U28:U32)</f>
        <v>0</v>
      </c>
    </row>
    <row r="34" spans="17:21" ht="18" x14ac:dyDescent="0.25">
      <c r="Q34" s="508" t="s">
        <v>71</v>
      </c>
      <c r="R34" s="509" t="s">
        <v>614</v>
      </c>
      <c r="S34" s="418" t="s">
        <v>615</v>
      </c>
      <c r="T34" s="511" t="s">
        <v>621</v>
      </c>
      <c r="U34" s="512" t="s">
        <v>618</v>
      </c>
    </row>
    <row r="35" spans="17:21" x14ac:dyDescent="0.25">
      <c r="Q35" s="419">
        <v>1</v>
      </c>
      <c r="R35" s="420" t="s">
        <v>440</v>
      </c>
      <c r="S35" s="175">
        <f>COUNTIFS(payesh!$E$80:$AH$80,"*سرابباغ*",payesh!$E$123:$AH$123,"&lt;100")</f>
        <v>0</v>
      </c>
      <c r="T35" s="514">
        <f>COUNTIFS(payesh!$E$80:$AH$80,"*سرابباغ*",payesh!$E$126:$AH$126,"&gt;100")</f>
        <v>0</v>
      </c>
      <c r="U35" s="515">
        <f>SUMIF(payesh!$E$80:$AH$80,"*سرابباغ*",payesh!$E$126:$AH$126)</f>
        <v>0</v>
      </c>
    </row>
    <row r="36" spans="17:21" x14ac:dyDescent="0.25">
      <c r="Q36" s="419">
        <v>2</v>
      </c>
      <c r="R36" s="420" t="s">
        <v>438</v>
      </c>
      <c r="S36" s="175">
        <f>COUNTIFS(payesh!$E$80:$AH$80,"*ابدانان*",payesh!$E$123:$AH$123,"&lt;100")</f>
        <v>0</v>
      </c>
      <c r="T36" s="514">
        <f>COUNTIFS(payesh!$E$80:$AH$80,"*ابدانان*",payesh!$E$126:$AH$126,"&gt;100")</f>
        <v>0</v>
      </c>
      <c r="U36" s="515">
        <f>SUMIF(payesh!$E$80:$AH$80,"*ابدانان*",payesh!$E$126:$AH$126)</f>
        <v>0</v>
      </c>
    </row>
    <row r="37" spans="17:21" x14ac:dyDescent="0.25">
      <c r="Q37" s="419">
        <v>3</v>
      </c>
      <c r="R37" s="420"/>
      <c r="S37" s="175">
        <f>COUNTIFS(payesh!$E$80:$AH$80,"*نام*",payesh!$E$123:$AH$123,"&lt;100")</f>
        <v>0</v>
      </c>
      <c r="T37" s="514">
        <f>COUNTIFS(payesh!$E$80:$AH$80,"*نام*",payesh!$E$126:$AH$126,"&gt;100")</f>
        <v>0</v>
      </c>
      <c r="U37" s="515">
        <f>SUMIF(payesh!$E$80:$AH$80,"*نام*",payesh!$E$126:$AH$126)</f>
        <v>0</v>
      </c>
    </row>
    <row r="38" spans="17:21" x14ac:dyDescent="0.25">
      <c r="Q38" s="419">
        <v>4</v>
      </c>
      <c r="R38" s="420"/>
      <c r="S38" s="175">
        <f>COUNTIFS(payesh!$E$80:$AH$80,"*نام*",payesh!$E$123:$AH$123,"&lt;100")</f>
        <v>0</v>
      </c>
      <c r="T38" s="514">
        <f>COUNTIFS(payesh!$E$80:$AH$80,"*نام*",payesh!$E$126:$AH$126,"&gt;100")</f>
        <v>0</v>
      </c>
      <c r="U38" s="515">
        <f>SUMIF(payesh!$E$80:$AH$80,"*نام*",payesh!$E$126:$AH$126)</f>
        <v>0</v>
      </c>
    </row>
    <row r="39" spans="17:21" x14ac:dyDescent="0.25">
      <c r="Q39" s="419">
        <v>5</v>
      </c>
      <c r="R39" s="420"/>
      <c r="S39" s="175">
        <f>COUNTIFS(payesh!$E$80:$AH$80,"*نام*",payesh!$E$123:$AH$123,"&lt;100")</f>
        <v>0</v>
      </c>
      <c r="T39" s="514">
        <f>COUNTIFS(payesh!$E$80:$AH$80,"*نام*",payesh!$E$126:$AH$126,"&gt;100")</f>
        <v>0</v>
      </c>
      <c r="U39" s="515">
        <f>SUMIF(payesh!$E$80:$AH$80,"*نام*",payesh!$E$126:$AH$126)</f>
        <v>0</v>
      </c>
    </row>
    <row r="40" spans="17:21" ht="18.75" thickBot="1" x14ac:dyDescent="0.3">
      <c r="Q40" s="626" t="s">
        <v>106</v>
      </c>
      <c r="R40" s="627"/>
      <c r="S40" s="177">
        <f>SUM(S35:S39)</f>
        <v>0</v>
      </c>
      <c r="T40" s="520">
        <f t="shared" ref="T40" si="5">SUM(T35:T39)</f>
        <v>0</v>
      </c>
      <c r="U40" s="519">
        <f>SUM(U35:U39)</f>
        <v>0</v>
      </c>
    </row>
  </sheetData>
  <sheetProtection algorithmName="SHA-512" hashValue="w1Ny1snvCBVDaCVaRM307V2zO9afkXfad9Etg83/C7RlpqHBgh4iCmG3yBumXWRFDyvOlSHw0k4IskZaklVaQA==" saltValue="XMD/une6mr9weR0ck6eBVA==" spinCount="100000" sheet="1" objects="1" scenarios="1"/>
  <mergeCells count="6">
    <mergeCell ref="Q40:R40"/>
    <mergeCell ref="Q10:S10"/>
    <mergeCell ref="K20:M20"/>
    <mergeCell ref="Q19:R19"/>
    <mergeCell ref="Q26:R26"/>
    <mergeCell ref="Q33:R33"/>
  </mergeCells>
  <conditionalFormatting sqref="H4:H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28">
    <cfRule type="dataBar" priority="22">
      <dataBar>
        <cfvo type="min"/>
        <cfvo type="max"/>
        <color rgb="FFD6007B"/>
      </dataBar>
      <extLst>
        <ext xmlns:x14="http://schemas.microsoft.com/office/spreadsheetml/2009/9/main" uri="{B025F937-C7B1-47D3-B67F-A62EFF666E3E}">
          <x14:id>{AC7434DC-115B-43DA-8CD5-2966DC660970}</x14:id>
        </ext>
      </extLst>
    </cfRule>
  </conditionalFormatting>
  <conditionalFormatting sqref="S14:S18">
    <cfRule type="dataBar" priority="8">
      <dataBar>
        <cfvo type="min"/>
        <cfvo type="max"/>
        <color rgb="FFD6007B"/>
      </dataBar>
      <extLst>
        <ext xmlns:x14="http://schemas.microsoft.com/office/spreadsheetml/2009/9/main" uri="{B025F937-C7B1-47D3-B67F-A62EFF666E3E}">
          <x14:id>{507FB10E-FF3B-4CCC-82B2-052E3C176FF0}</x14:id>
        </ext>
      </extLst>
    </cfRule>
  </conditionalFormatting>
  <conditionalFormatting sqref="W14:W18">
    <cfRule type="dataBar" priority="7">
      <dataBar>
        <cfvo type="min"/>
        <cfvo type="max"/>
        <color rgb="FFD6007B"/>
      </dataBar>
      <extLst>
        <ext xmlns:x14="http://schemas.microsoft.com/office/spreadsheetml/2009/9/main" uri="{B025F937-C7B1-47D3-B67F-A62EFF666E3E}">
          <x14:id>{A6A7CB88-26D1-4F88-9EC3-1B0452A2A091}</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{FFDEE12A-3387-4262-A1BF-524BD519A507}</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{65CE81E0-9748-48C3-AE8B-FABC0B0460FE}</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{5BA070DD-8CFC-4B5E-9E24-662C9672D8D4}</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D4:D28</xm:sqref>
        </x14:conditionalFormatting>
        <x14:conditionalFormatting xmlns:xm="http://schemas.microsoft.com/office/excel/2006/main">
          <x14:cfRule type="dataBar" id="{507FB10E-FF3B-4CCC-82B2-052E3C176FF0}">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6A7CB88-26D1-4F88-9EC3-1B0452A2A091}">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FFDEE12A-3387-4262-A1BF-524BD519A507}">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65CE81E0-9748-48C3-AE8B-FABC0B0460FE}">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5BA070DD-8CFC-4B5E-9E24-662C9672D8D4}">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44"/>
  <sheetViews>
    <sheetView rightToLeft="1" workbookViewId="0">
      <selection activeCell="G3" sqref="G3"/>
    </sheetView>
  </sheetViews>
  <sheetFormatPr defaultColWidth="9.140625" defaultRowHeight="18" x14ac:dyDescent="0.25"/>
  <cols>
    <col min="1" max="1" width="20.140625" style="59" customWidth="1"/>
    <col min="2" max="5" width="9.140625" style="59"/>
    <col min="6" max="6" width="12.42578125" style="59" customWidth="1"/>
    <col min="7" max="7" width="15.5703125" style="59" customWidth="1"/>
    <col min="8" max="8" width="15" style="59" customWidth="1"/>
    <col min="9" max="9" width="12.85546875" style="59" customWidth="1"/>
    <col min="10" max="10" width="15.42578125" style="59" customWidth="1"/>
    <col min="11" max="11" width="9.140625" style="59"/>
    <col min="12" max="14" width="11.5703125" style="59" customWidth="1"/>
    <col min="15" max="15" width="13" style="59" customWidth="1"/>
    <col min="16" max="16" width="18.5703125" style="59" customWidth="1"/>
    <col min="17" max="17" width="14" style="59" customWidth="1"/>
    <col min="18" max="16384" width="9.140625" style="59"/>
  </cols>
  <sheetData>
    <row r="3" spans="1:17" ht="18.75" thickBot="1" x14ac:dyDescent="0.3"/>
    <row r="4" spans="1:17" ht="19.5" thickBot="1" x14ac:dyDescent="0.5">
      <c r="A4" s="130" t="s">
        <v>229</v>
      </c>
      <c r="B4" s="133">
        <f>COUNTIF(J5:J44,"در مرحله افتتاح حساب")</f>
        <v>0</v>
      </c>
      <c r="D4" s="357" t="s">
        <v>71</v>
      </c>
      <c r="E4" s="358" t="s">
        <v>222</v>
      </c>
      <c r="F4" s="358" t="s">
        <v>223</v>
      </c>
      <c r="G4" s="358" t="s">
        <v>224</v>
      </c>
      <c r="H4" s="358" t="s">
        <v>225</v>
      </c>
      <c r="I4" s="358" t="s">
        <v>9</v>
      </c>
      <c r="J4" s="358" t="s">
        <v>226</v>
      </c>
      <c r="K4" s="358" t="s">
        <v>0</v>
      </c>
      <c r="L4" s="359" t="str">
        <f>payesh!D19</f>
        <v>نام گروه‌یار</v>
      </c>
      <c r="M4" s="359" t="str">
        <f>payesh!D20</f>
        <v>نام خزانه‌دار</v>
      </c>
      <c r="N4" s="359" t="str">
        <f>payesh!D21</f>
        <v>نام منشی</v>
      </c>
      <c r="O4" s="358" t="s">
        <v>227</v>
      </c>
      <c r="P4" s="358" t="s">
        <v>204</v>
      </c>
      <c r="Q4" s="360" t="s">
        <v>228</v>
      </c>
    </row>
    <row r="5" spans="1:17" ht="18.75" thickBot="1" x14ac:dyDescent="0.45">
      <c r="A5" s="131" t="s">
        <v>230</v>
      </c>
      <c r="B5" s="134">
        <f>COUNTIF(J5:J44,"تشکیل شده")</f>
        <v>0</v>
      </c>
      <c r="D5" s="356">
        <f>SHG!B4</f>
        <v>1</v>
      </c>
      <c r="E5" s="347" t="str">
        <f>SHG!C4</f>
        <v>ایلام</v>
      </c>
      <c r="F5" s="339" t="str">
        <f>SHG!D4</f>
        <v>ابدانان</v>
      </c>
      <c r="G5" s="339" t="str">
        <f>SHG!E4</f>
        <v>سرابباغ</v>
      </c>
      <c r="H5" s="340" t="str">
        <f>payesh!E15</f>
        <v>93/1/28</v>
      </c>
      <c r="I5" s="339" t="str">
        <f>SHG!F4</f>
        <v>پوپک</v>
      </c>
      <c r="J5" s="341"/>
      <c r="K5" s="339">
        <f>payesh!E22</f>
        <v>15</v>
      </c>
      <c r="L5" s="339" t="str">
        <f>SHG!P4</f>
        <v>زهره سبزواری</v>
      </c>
      <c r="M5" s="339" t="str">
        <f>SHG!Q4</f>
        <v>مهناز عبدی تبار</v>
      </c>
      <c r="N5" s="339" t="str">
        <f>SHG!R4</f>
        <v>معصومه سروالی</v>
      </c>
      <c r="O5" s="340">
        <f>SHG!N4</f>
        <v>706451419</v>
      </c>
      <c r="P5" s="339">
        <f>payesh!E62</f>
        <v>99883214</v>
      </c>
      <c r="Q5" s="342">
        <f>payesh!E82</f>
        <v>550000000</v>
      </c>
    </row>
    <row r="6" spans="1:17" ht="18.75" thickBot="1" x14ac:dyDescent="0.45">
      <c r="A6" s="130" t="s">
        <v>231</v>
      </c>
      <c r="B6" s="133">
        <f>COUNTIF(J5:J44,"اعتبارسنجی شده")</f>
        <v>0</v>
      </c>
      <c r="D6" s="348">
        <f>SHG!B5</f>
        <v>2</v>
      </c>
      <c r="E6" s="350" t="str">
        <f>SHG!C5</f>
        <v>ایلام</v>
      </c>
      <c r="F6" s="351" t="str">
        <f>SHG!D5</f>
        <v>ابدانان</v>
      </c>
      <c r="G6" s="351" t="str">
        <f>SHG!E5</f>
        <v>سرابباغ</v>
      </c>
      <c r="H6" s="352" t="str">
        <f>payesh!F15</f>
        <v>93/1/30</v>
      </c>
      <c r="I6" s="351" t="str">
        <f>SHG!F5</f>
        <v>شیرین بانو</v>
      </c>
      <c r="J6" s="353"/>
      <c r="K6" s="351">
        <f>payesh!F22</f>
        <v>15</v>
      </c>
      <c r="L6" s="351" t="str">
        <f>SHG!P5</f>
        <v>زینب چابک</v>
      </c>
      <c r="M6" s="351" t="str">
        <f>SHG!Q5</f>
        <v>فرزانه سیاحی</v>
      </c>
      <c r="N6" s="351" t="str">
        <f>SHG!R5</f>
        <v>فاطمه عمانی</v>
      </c>
      <c r="O6" s="352">
        <f>SHG!N5</f>
        <v>706545568</v>
      </c>
      <c r="P6" s="351">
        <f>payesh!F62</f>
        <v>80702000</v>
      </c>
      <c r="Q6" s="354">
        <f>payesh!F82</f>
        <v>520000000</v>
      </c>
    </row>
    <row r="7" spans="1:17" ht="18.75" thickBot="1" x14ac:dyDescent="0.45">
      <c r="A7" s="131" t="s">
        <v>232</v>
      </c>
      <c r="B7" s="134">
        <f>COUNTIF(J5:J44,"مراحل بانکی")</f>
        <v>0</v>
      </c>
      <c r="D7" s="355">
        <f>SHG!B6</f>
        <v>3</v>
      </c>
      <c r="E7" s="349" t="str">
        <f>SHG!C6</f>
        <v>ایلام</v>
      </c>
      <c r="F7" s="343" t="str">
        <f>SHG!D6</f>
        <v>ابدانان</v>
      </c>
      <c r="G7" s="343" t="str">
        <f>SHG!E6</f>
        <v>سرابباغ</v>
      </c>
      <c r="H7" s="344" t="str">
        <f>payesh!G15</f>
        <v>93/1/28</v>
      </c>
      <c r="I7" s="343" t="str">
        <f>SHG!F6</f>
        <v>نرگس</v>
      </c>
      <c r="J7" s="345"/>
      <c r="K7" s="343">
        <f>payesh!G22</f>
        <v>15</v>
      </c>
      <c r="L7" s="343" t="str">
        <f>SHG!P6</f>
        <v>احترام میرعلیخانی</v>
      </c>
      <c r="M7" s="343" t="str">
        <f>SHG!Q6</f>
        <v>فرزانه رییسی</v>
      </c>
      <c r="N7" s="343" t="str">
        <f>SHG!R6</f>
        <v>زینت رحیمی</v>
      </c>
      <c r="O7" s="344">
        <f>SHG!N6</f>
        <v>706452071</v>
      </c>
      <c r="P7" s="343">
        <f>payesh!G62</f>
        <v>130829000</v>
      </c>
      <c r="Q7" s="346">
        <f>payesh!G82</f>
        <v>530000000</v>
      </c>
    </row>
    <row r="8" spans="1:17" ht="18.75" thickBot="1" x14ac:dyDescent="0.45">
      <c r="A8" s="130" t="s">
        <v>233</v>
      </c>
      <c r="B8" s="133">
        <f>COUNTIF(J5:J44,"دریافت وام بانکی")</f>
        <v>0</v>
      </c>
      <c r="D8" s="348">
        <f>SHG!B7</f>
        <v>4</v>
      </c>
      <c r="E8" s="350" t="str">
        <f>SHG!C7</f>
        <v>ایلام</v>
      </c>
      <c r="F8" s="351" t="str">
        <f>SHG!D7</f>
        <v>ابدانان</v>
      </c>
      <c r="G8" s="351" t="str">
        <f>SHG!E7</f>
        <v>ژیور</v>
      </c>
      <c r="H8" s="352" t="str">
        <f>payesh!H15</f>
        <v>93/1/30</v>
      </c>
      <c r="I8" s="351" t="str">
        <f>SHG!F7</f>
        <v>ارکیده</v>
      </c>
      <c r="J8" s="353"/>
      <c r="K8" s="351">
        <f>payesh!H22</f>
        <v>16</v>
      </c>
      <c r="L8" s="351" t="str">
        <f>SHG!P7</f>
        <v>زهرا نوروزی</v>
      </c>
      <c r="M8" s="351" t="str">
        <f>SHG!Q7</f>
        <v>فاطمه نیک ÷ور</v>
      </c>
      <c r="N8" s="351" t="str">
        <f>SHG!R7</f>
        <v>فریده کریمی</v>
      </c>
      <c r="O8" s="352">
        <f>SHG!N7</f>
        <v>706961156</v>
      </c>
      <c r="P8" s="351">
        <f>payesh!H62</f>
        <v>55725000</v>
      </c>
      <c r="Q8" s="354">
        <f>payesh!H82</f>
        <v>565000000</v>
      </c>
    </row>
    <row r="9" spans="1:17" ht="18.75" thickBot="1" x14ac:dyDescent="0.45">
      <c r="A9" s="132" t="s">
        <v>106</v>
      </c>
      <c r="B9" s="129">
        <f>SUM(B4:B8)</f>
        <v>0</v>
      </c>
      <c r="D9" s="355">
        <f>SHG!B8</f>
        <v>5</v>
      </c>
      <c r="E9" s="349" t="str">
        <f>SHG!C8</f>
        <v>ایلام</v>
      </c>
      <c r="F9" s="343" t="str">
        <f>SHG!D8</f>
        <v>ابدانان</v>
      </c>
      <c r="G9" s="343" t="str">
        <f>SHG!E8</f>
        <v>چم کبود</v>
      </c>
      <c r="H9" s="344" t="str">
        <f>payesh!I15</f>
        <v>94/10/19</v>
      </c>
      <c r="I9" s="343" t="str">
        <f>SHG!F8</f>
        <v>هانا</v>
      </c>
      <c r="J9" s="345"/>
      <c r="K9" s="343">
        <f>payesh!I22</f>
        <v>16</v>
      </c>
      <c r="L9" s="343" t="str">
        <f>SHG!P8</f>
        <v>فریبا غلامی</v>
      </c>
      <c r="M9" s="343" t="str">
        <f>SHG!Q8</f>
        <v>سکینه خانمحمدی</v>
      </c>
      <c r="N9" s="343" t="str">
        <f>SHG!R8</f>
        <v>زینب غلامی</v>
      </c>
      <c r="O9" s="344">
        <f>SHG!N8</f>
        <v>774047709</v>
      </c>
      <c r="P9" s="343">
        <f>payesh!I62</f>
        <v>15150000</v>
      </c>
      <c r="Q9" s="346">
        <f>payesh!I82</f>
        <v>210000000</v>
      </c>
    </row>
    <row r="10" spans="1:17" ht="18.75" thickBot="1" x14ac:dyDescent="0.45">
      <c r="D10" s="348">
        <f>SHG!B9</f>
        <v>6</v>
      </c>
      <c r="E10" s="350" t="str">
        <f>SHG!C9</f>
        <v>ایلام</v>
      </c>
      <c r="F10" s="351" t="str">
        <f>SHG!D9</f>
        <v>ابدانان</v>
      </c>
      <c r="G10" s="351" t="str">
        <f>SHG!E9</f>
        <v>بانکت</v>
      </c>
      <c r="H10" s="352" t="str">
        <f>payesh!J15</f>
        <v>94/12/27</v>
      </c>
      <c r="I10" s="351" t="str">
        <f>SHG!F9</f>
        <v>شاپرک</v>
      </c>
      <c r="J10" s="353"/>
      <c r="K10" s="351">
        <f>payesh!J22</f>
        <v>16</v>
      </c>
      <c r="L10" s="351" t="str">
        <f>SHG!P9</f>
        <v>شهلا رحمی</v>
      </c>
      <c r="M10" s="351" t="str">
        <f>SHG!Q9</f>
        <v>لیلا مرادی</v>
      </c>
      <c r="N10" s="351" t="str">
        <f>SHG!R9</f>
        <v>زلیخا مرادی</v>
      </c>
      <c r="O10" s="352">
        <f>SHG!N9</f>
        <v>783152521</v>
      </c>
      <c r="P10" s="351">
        <f>payesh!J62</f>
        <v>15520000</v>
      </c>
      <c r="Q10" s="354">
        <f>payesh!J82</f>
        <v>0</v>
      </c>
    </row>
    <row r="11" spans="1:17" ht="18.75" thickBot="1" x14ac:dyDescent="0.45">
      <c r="D11" s="355">
        <f>SHG!B10</f>
        <v>7</v>
      </c>
      <c r="E11" s="349" t="str">
        <f>SHG!C10</f>
        <v xml:space="preserve">ایلام </v>
      </c>
      <c r="F11" s="343" t="str">
        <f>SHG!D10</f>
        <v>ابدانان</v>
      </c>
      <c r="G11" s="343" t="str">
        <f>SHG!E10</f>
        <v>هفت چشمه</v>
      </c>
      <c r="H11" s="344" t="str">
        <f>payesh!K15</f>
        <v>93/3/28</v>
      </c>
      <c r="I11" s="343" t="str">
        <f>SHG!F10</f>
        <v>بهار</v>
      </c>
      <c r="J11" s="345"/>
      <c r="K11" s="343">
        <f>payesh!K22</f>
        <v>17</v>
      </c>
      <c r="L11" s="343" t="str">
        <f>SHG!P10</f>
        <v>فریبا خلفی</v>
      </c>
      <c r="M11" s="343" t="str">
        <f>SHG!Q10</f>
        <v>شاهی طلا یاری</v>
      </c>
      <c r="N11" s="343" t="str">
        <f>SHG!R10</f>
        <v>ستاره خلفیان</v>
      </c>
      <c r="O11" s="344">
        <f>SHG!N10</f>
        <v>711598615</v>
      </c>
      <c r="P11" s="343">
        <f>payesh!K62</f>
        <v>40657998</v>
      </c>
      <c r="Q11" s="346">
        <f>payesh!K82</f>
        <v>200000000</v>
      </c>
    </row>
    <row r="12" spans="1:17" ht="18.75" thickBot="1" x14ac:dyDescent="0.45">
      <c r="D12" s="348">
        <f>SHG!B11</f>
        <v>8</v>
      </c>
      <c r="E12" s="350" t="str">
        <f>SHG!C11</f>
        <v xml:space="preserve">ایلام </v>
      </c>
      <c r="F12" s="351" t="str">
        <f>SHG!D11</f>
        <v>ابدانان</v>
      </c>
      <c r="G12" s="351" t="str">
        <f>SHG!E11</f>
        <v>چم کبود</v>
      </c>
      <c r="H12" s="352" t="str">
        <f>payesh!L15</f>
        <v>93/3/11</v>
      </c>
      <c r="I12" s="351" t="str">
        <f>SHG!F11</f>
        <v>شفق</v>
      </c>
      <c r="J12" s="353"/>
      <c r="K12" s="351">
        <f>payesh!L22</f>
        <v>17</v>
      </c>
      <c r="L12" s="351" t="str">
        <f>SHG!P11</f>
        <v>کبری عزیزی</v>
      </c>
      <c r="M12" s="351" t="str">
        <f>SHG!Q11</f>
        <v>فهیمه غلامی</v>
      </c>
      <c r="N12" s="351" t="str">
        <f>SHG!R11</f>
        <v xml:space="preserve">فاطمه عزیزی </v>
      </c>
      <c r="O12" s="352">
        <f>SHG!N11</f>
        <v>710325353</v>
      </c>
      <c r="P12" s="351">
        <f>payesh!L62</f>
        <v>79757000</v>
      </c>
      <c r="Q12" s="354">
        <f>payesh!L82</f>
        <v>190000000</v>
      </c>
    </row>
    <row r="13" spans="1:17" ht="18.75" thickBot="1" x14ac:dyDescent="0.45">
      <c r="D13" s="355">
        <f>SHG!B12</f>
        <v>9</v>
      </c>
      <c r="E13" s="349" t="str">
        <f>SHG!C12</f>
        <v>ایلام</v>
      </c>
      <c r="F13" s="343" t="str">
        <f>SHG!D12</f>
        <v>ابدانان</v>
      </c>
      <c r="G13" s="343" t="str">
        <f>SHG!E12</f>
        <v>بانکت</v>
      </c>
      <c r="H13" s="344" t="str">
        <f>payesh!M15</f>
        <v>93/7/22</v>
      </c>
      <c r="I13" s="343" t="str">
        <f>SHG!F12</f>
        <v>گلبرگ</v>
      </c>
      <c r="J13" s="345"/>
      <c r="K13" s="343">
        <f>payesh!M22</f>
        <v>15</v>
      </c>
      <c r="L13" s="343" t="str">
        <f>SHG!P12</f>
        <v>فاطمه مرادی</v>
      </c>
      <c r="M13" s="343" t="str">
        <f>SHG!Q12</f>
        <v>هدیه رحمتی</v>
      </c>
      <c r="N13" s="343" t="str">
        <f>SHG!R12</f>
        <v>اقدس مرادی</v>
      </c>
      <c r="O13" s="344">
        <f>SHG!N12</f>
        <v>723066890</v>
      </c>
      <c r="P13" s="343">
        <f>payesh!M62</f>
        <v>51078000</v>
      </c>
      <c r="Q13" s="346">
        <f>payesh!M82</f>
        <v>210000000</v>
      </c>
    </row>
    <row r="14" spans="1:17" ht="18.75" thickBot="1" x14ac:dyDescent="0.45">
      <c r="D14" s="348">
        <f>SHG!B13</f>
        <v>10</v>
      </c>
      <c r="E14" s="350" t="str">
        <f>SHG!C13</f>
        <v>ایلام</v>
      </c>
      <c r="F14" s="351" t="str">
        <f>SHG!D13</f>
        <v>ابدانان</v>
      </c>
      <c r="G14" s="351" t="str">
        <f>SHG!E13</f>
        <v>سرابباغ</v>
      </c>
      <c r="H14" s="352" t="str">
        <f>payesh!N15</f>
        <v>93/9/5</v>
      </c>
      <c r="I14" s="351" t="str">
        <f>SHG!F13</f>
        <v>ستایش</v>
      </c>
      <c r="J14" s="353"/>
      <c r="K14" s="351">
        <f>payesh!N22</f>
        <v>15</v>
      </c>
      <c r="L14" s="351" t="str">
        <f>SHG!P13</f>
        <v>زهرا سبزواری</v>
      </c>
      <c r="M14" s="351" t="str">
        <f>SHG!Q13</f>
        <v>سکینه حیدری</v>
      </c>
      <c r="N14" s="351" t="str">
        <f>SHG!R13</f>
        <v>خدیجه کولیوندی</v>
      </c>
      <c r="O14" s="352">
        <f>SHG!N13</f>
        <v>728077954</v>
      </c>
      <c r="P14" s="351">
        <f>payesh!N62</f>
        <v>55033495</v>
      </c>
      <c r="Q14" s="354">
        <f>payesh!N82</f>
        <v>200000000</v>
      </c>
    </row>
    <row r="15" spans="1:17" ht="18.75" thickBot="1" x14ac:dyDescent="0.45">
      <c r="D15" s="355">
        <f>SHG!B14</f>
        <v>11</v>
      </c>
      <c r="E15" s="349" t="str">
        <f>SHG!C14</f>
        <v>ایلام</v>
      </c>
      <c r="F15" s="343" t="str">
        <f>SHG!D14</f>
        <v>ابدانان</v>
      </c>
      <c r="G15" s="343" t="str">
        <f>SHG!E14</f>
        <v>ژیور</v>
      </c>
      <c r="H15" s="344" t="str">
        <f>payesh!O15</f>
        <v>93/9/8</v>
      </c>
      <c r="I15" s="343" t="str">
        <f>SHG!F14</f>
        <v>پونه</v>
      </c>
      <c r="J15" s="345"/>
      <c r="K15" s="343">
        <f>payesh!O22</f>
        <v>14</v>
      </c>
      <c r="L15" s="343" t="str">
        <f>SHG!P14</f>
        <v>شریفه بزرگمهر</v>
      </c>
      <c r="M15" s="343" t="str">
        <f>SHG!Q14</f>
        <v>ثنا نورصیدی</v>
      </c>
      <c r="N15" s="343" t="str">
        <f>SHG!R14</f>
        <v>فاطمه کرمی</v>
      </c>
      <c r="O15" s="344">
        <f>SHG!N14</f>
        <v>728318824</v>
      </c>
      <c r="P15" s="343">
        <f>payesh!O62</f>
        <v>49836000</v>
      </c>
      <c r="Q15" s="346">
        <f>payesh!O82</f>
        <v>200000000</v>
      </c>
    </row>
    <row r="16" spans="1:17" ht="18.75" thickBot="1" x14ac:dyDescent="0.45">
      <c r="D16" s="348">
        <f>SHG!B15</f>
        <v>12</v>
      </c>
      <c r="E16" s="350" t="str">
        <f>SHG!C15</f>
        <v>ایلام</v>
      </c>
      <c r="F16" s="351" t="str">
        <f>SHG!D15</f>
        <v>ابدانان</v>
      </c>
      <c r="G16" s="351" t="str">
        <f>SHG!E15</f>
        <v>چم کبود</v>
      </c>
      <c r="H16" s="352" t="str">
        <f>payesh!P15</f>
        <v>93/10/25</v>
      </c>
      <c r="I16" s="351" t="str">
        <f>SHG!F15</f>
        <v>نگین</v>
      </c>
      <c r="J16" s="353"/>
      <c r="K16" s="351">
        <f>payesh!P22</f>
        <v>14</v>
      </c>
      <c r="L16" s="351" t="str">
        <f>SHG!P15</f>
        <v>مهری عزیزی</v>
      </c>
      <c r="M16" s="351" t="str">
        <f>SHG!Q15</f>
        <v>فاطمه آبسالان</v>
      </c>
      <c r="N16" s="351" t="str">
        <f>SHG!R15</f>
        <v>صفیه پیری</v>
      </c>
      <c r="O16" s="352">
        <f>SHG!N15</f>
        <v>734390971</v>
      </c>
      <c r="P16" s="351">
        <f>payesh!P62</f>
        <v>47400000</v>
      </c>
      <c r="Q16" s="354">
        <f>payesh!P82</f>
        <v>200000000</v>
      </c>
    </row>
    <row r="17" spans="4:17" ht="18.75" thickBot="1" x14ac:dyDescent="0.45">
      <c r="D17" s="355">
        <f>SHG!B16</f>
        <v>13</v>
      </c>
      <c r="E17" s="349" t="str">
        <f>SHG!C16</f>
        <v>ایلام</v>
      </c>
      <c r="F17" s="343" t="str">
        <f>SHG!D16</f>
        <v>ابدانان</v>
      </c>
      <c r="G17" s="343" t="str">
        <f>SHG!E16</f>
        <v>سرابباغ</v>
      </c>
      <c r="H17" s="344" t="str">
        <f>payesh!Q15</f>
        <v>93/10/17</v>
      </c>
      <c r="I17" s="343" t="str">
        <f>SHG!F16</f>
        <v>باران</v>
      </c>
      <c r="J17" s="345"/>
      <c r="K17" s="343">
        <f>payesh!Q22</f>
        <v>15</v>
      </c>
      <c r="L17" s="343" t="str">
        <f>SHG!P16</f>
        <v>بتول طاهری زاده</v>
      </c>
      <c r="M17" s="343" t="str">
        <f>SHG!Q16</f>
        <v>طاهره رئیسی</v>
      </c>
      <c r="N17" s="343" t="str">
        <f>SHG!R16</f>
        <v>راضیه رئیسی</v>
      </c>
      <c r="O17" s="344">
        <f>SHG!N16</f>
        <v>733491926</v>
      </c>
      <c r="P17" s="343">
        <f>payesh!Q62</f>
        <v>89687023</v>
      </c>
      <c r="Q17" s="346">
        <f>payesh!Q82</f>
        <v>210000000</v>
      </c>
    </row>
    <row r="18" spans="4:17" ht="18.75" thickBot="1" x14ac:dyDescent="0.45">
      <c r="D18" s="348">
        <f>SHG!B17</f>
        <v>14</v>
      </c>
      <c r="E18" s="350" t="str">
        <f>SHG!C17</f>
        <v>ایلام</v>
      </c>
      <c r="F18" s="351" t="str">
        <f>SHG!D17</f>
        <v>ابدانان</v>
      </c>
      <c r="G18" s="351" t="str">
        <f>SHG!E17</f>
        <v>سرابباغ</v>
      </c>
      <c r="H18" s="352" t="str">
        <f>payesh!R15</f>
        <v>95/1/7</v>
      </c>
      <c r="I18" s="351" t="str">
        <f>SHG!F17</f>
        <v>گل مریم</v>
      </c>
      <c r="J18" s="353"/>
      <c r="K18" s="351">
        <f>payesh!R22</f>
        <v>18</v>
      </c>
      <c r="L18" s="351" t="str">
        <f>SHG!P17</f>
        <v>زکیه حاصلی</v>
      </c>
      <c r="M18" s="351" t="str">
        <f>SHG!Q17</f>
        <v>فاطمه غارتی</v>
      </c>
      <c r="N18" s="351" t="str">
        <f>SHG!R17</f>
        <v>مهتاب غارتی</v>
      </c>
      <c r="O18" s="352">
        <f>SHG!N17</f>
        <v>784789342</v>
      </c>
      <c r="P18" s="351">
        <f>payesh!R62</f>
        <v>35250000</v>
      </c>
      <c r="Q18" s="354">
        <f>payesh!R82</f>
        <v>215000000</v>
      </c>
    </row>
    <row r="19" spans="4:17" ht="18.75" thickBot="1" x14ac:dyDescent="0.45">
      <c r="D19" s="355">
        <f>SHG!B18</f>
        <v>15</v>
      </c>
      <c r="E19" s="349" t="str">
        <f>SHG!C18</f>
        <v>ایلام</v>
      </c>
      <c r="F19" s="343" t="str">
        <f>SHG!D18</f>
        <v>ابدانان</v>
      </c>
      <c r="G19" s="343" t="str">
        <f>SHG!E18</f>
        <v>چم کبود</v>
      </c>
      <c r="H19" s="344" t="str">
        <f>payesh!S15</f>
        <v>95/4/2</v>
      </c>
      <c r="I19" s="343" t="str">
        <f>SHG!F18</f>
        <v>آوا</v>
      </c>
      <c r="J19" s="345"/>
      <c r="K19" s="343">
        <f>payesh!S22</f>
        <v>18</v>
      </c>
      <c r="L19" s="343" t="str">
        <f>SHG!P18</f>
        <v>زهرا مقدمی اصل</v>
      </c>
      <c r="M19" s="343" t="str">
        <f>SHG!Q18</f>
        <v>زهرا کوهدشتی</v>
      </c>
      <c r="N19" s="343" t="str">
        <f>SHG!R18</f>
        <v>مریم ارزانی نژاد</v>
      </c>
      <c r="O19" s="344">
        <f>SHG!N18</f>
        <v>790877478</v>
      </c>
      <c r="P19" s="343">
        <f>payesh!S62</f>
        <v>10130000</v>
      </c>
      <c r="Q19" s="346">
        <f>payesh!S82</f>
        <v>0</v>
      </c>
    </row>
    <row r="20" spans="4:17" ht="18.75" thickBot="1" x14ac:dyDescent="0.45">
      <c r="D20" s="348">
        <f>SHG!B19</f>
        <v>16</v>
      </c>
      <c r="E20" s="350" t="str">
        <f>SHG!C19</f>
        <v>ايلام</v>
      </c>
      <c r="F20" s="351" t="str">
        <f>SHG!D19</f>
        <v>ابدانان</v>
      </c>
      <c r="G20" s="351" t="str">
        <f>SHG!E19</f>
        <v>سرابباغ</v>
      </c>
      <c r="H20" s="352" t="str">
        <f>payesh!T15</f>
        <v>95/8/20</v>
      </c>
      <c r="I20" s="351" t="str">
        <f>SHG!F19</f>
        <v>افتاب</v>
      </c>
      <c r="J20" s="353"/>
      <c r="K20" s="351">
        <f>payesh!T22</f>
        <v>18</v>
      </c>
      <c r="L20" s="351" t="str">
        <f>SHG!P19</f>
        <v>عفت رضایی</v>
      </c>
      <c r="M20" s="351" t="str">
        <f>SHG!Q19</f>
        <v>فریده مرادی پور</v>
      </c>
      <c r="N20" s="351" t="str">
        <f>SHG!R19</f>
        <v>طاهره چناری</v>
      </c>
      <c r="O20" s="352">
        <f>SHG!N19</f>
        <v>805082978</v>
      </c>
      <c r="P20" s="351">
        <f>payesh!T62</f>
        <v>4000000</v>
      </c>
      <c r="Q20" s="354">
        <f>payesh!T82</f>
        <v>0</v>
      </c>
    </row>
    <row r="21" spans="4:17" ht="18.75" thickBot="1" x14ac:dyDescent="0.45">
      <c r="D21" s="355">
        <f>SHG!B20</f>
        <v>17</v>
      </c>
      <c r="E21" s="349" t="str">
        <f>SHG!C20</f>
        <v>ايلام</v>
      </c>
      <c r="F21" s="343" t="str">
        <f>SHG!D20</f>
        <v>ابدانان</v>
      </c>
      <c r="G21" s="343" t="str">
        <f>SHG!E20</f>
        <v>پشت قلعه</v>
      </c>
      <c r="H21" s="344" t="str">
        <f>payesh!U15</f>
        <v>95/9/2</v>
      </c>
      <c r="I21" s="343" t="str">
        <f>SHG!F20</f>
        <v>دریا</v>
      </c>
      <c r="J21" s="345"/>
      <c r="K21" s="343">
        <f>payesh!U22</f>
        <v>15</v>
      </c>
      <c r="L21" s="343" t="str">
        <f>SHG!P20</f>
        <v>سکینه چنان</v>
      </c>
      <c r="M21" s="343" t="str">
        <f>SHG!Q20</f>
        <v>حنیفه سپهوند</v>
      </c>
      <c r="N21" s="343" t="str">
        <f>SHG!R20</f>
        <v>سعیده نصوری</v>
      </c>
      <c r="O21" s="344">
        <f>SHG!N20</f>
        <v>806584376</v>
      </c>
      <c r="P21" s="343">
        <f>payesh!U62</f>
        <v>1650000</v>
      </c>
      <c r="Q21" s="346">
        <f>payesh!U82</f>
        <v>0</v>
      </c>
    </row>
    <row r="22" spans="4:17" ht="18.75" thickBot="1" x14ac:dyDescent="0.45">
      <c r="D22" s="348">
        <f>SHG!B21</f>
        <v>18</v>
      </c>
      <c r="E22" s="350" t="str">
        <f>SHG!C21</f>
        <v>ایلام</v>
      </c>
      <c r="F22" s="351" t="str">
        <f>SHG!D21</f>
        <v>ابدانان</v>
      </c>
      <c r="G22" s="351" t="str">
        <f>SHG!E21</f>
        <v>پشت قلعه</v>
      </c>
      <c r="H22" s="352" t="str">
        <f>payesh!V15</f>
        <v>95/8/27</v>
      </c>
      <c r="I22" s="351" t="str">
        <f>SHG!F21</f>
        <v>شکوفه</v>
      </c>
      <c r="J22" s="353"/>
      <c r="K22" s="351">
        <f>payesh!V22</f>
        <v>15</v>
      </c>
      <c r="L22" s="351" t="str">
        <f>SHG!P21</f>
        <v>حنیفه لطفی زاده</v>
      </c>
      <c r="M22" s="351" t="str">
        <f>SHG!Q21</f>
        <v>زینب دیناروند</v>
      </c>
      <c r="N22" s="351" t="str">
        <f>SHG!R21</f>
        <v>نصرت جعفری</v>
      </c>
      <c r="O22" s="352">
        <f>SHG!N21</f>
        <v>805677433</v>
      </c>
      <c r="P22" s="351">
        <f>payesh!V62</f>
        <v>1650000</v>
      </c>
      <c r="Q22" s="354">
        <f>payesh!V82</f>
        <v>0</v>
      </c>
    </row>
    <row r="23" spans="4:17" ht="18.75" thickBot="1" x14ac:dyDescent="0.45">
      <c r="D23" s="355">
        <f>SHG!B22</f>
        <v>19</v>
      </c>
      <c r="E23" s="349" t="str">
        <f>SHG!C22</f>
        <v xml:space="preserve">ایلام </v>
      </c>
      <c r="F23" s="343" t="str">
        <f>SHG!D22</f>
        <v>ابدانان</v>
      </c>
      <c r="G23" s="343" t="str">
        <f>SHG!E22</f>
        <v>پشت قلعه</v>
      </c>
      <c r="H23" s="344" t="str">
        <f>payesh!W15</f>
        <v>95/8/28</v>
      </c>
      <c r="I23" s="343" t="str">
        <f>SHG!F22</f>
        <v>افق</v>
      </c>
      <c r="J23" s="345"/>
      <c r="K23" s="343">
        <f>payesh!W22</f>
        <v>13</v>
      </c>
      <c r="L23" s="343" t="str">
        <f>SHG!P22</f>
        <v>زهرا مرادی</v>
      </c>
      <c r="M23" s="343" t="str">
        <f>SHG!Q22</f>
        <v>فاطمه ازادی نسب</v>
      </c>
      <c r="N23" s="343" t="str">
        <f>SHG!R22</f>
        <v>فرشته ایمانی نژاد</v>
      </c>
      <c r="O23" s="344">
        <f>SHG!N22</f>
        <v>805645242</v>
      </c>
      <c r="P23" s="343">
        <f>payesh!W62</f>
        <v>260000</v>
      </c>
      <c r="Q23" s="346">
        <f>payesh!W82</f>
        <v>0</v>
      </c>
    </row>
    <row r="24" spans="4:17" ht="18.75" thickBot="1" x14ac:dyDescent="0.45">
      <c r="D24" s="348">
        <f>SHG!B23</f>
        <v>20</v>
      </c>
      <c r="E24" s="350" t="str">
        <f>SHG!C23</f>
        <v xml:space="preserve">ایلام </v>
      </c>
      <c r="F24" s="351" t="str">
        <f>SHG!D23</f>
        <v>ابدانان</v>
      </c>
      <c r="G24" s="351" t="str">
        <f>SHG!E23</f>
        <v>پشت قلعه</v>
      </c>
      <c r="H24" s="352" t="str">
        <f>payesh!X15</f>
        <v>95/8/28</v>
      </c>
      <c r="I24" s="351" t="str">
        <f>SHG!F23</f>
        <v>مهتاب</v>
      </c>
      <c r="J24" s="353"/>
      <c r="K24" s="351">
        <f>payesh!X22</f>
        <v>15</v>
      </c>
      <c r="L24" s="351" t="str">
        <f>SHG!P23</f>
        <v>عاطفه  اعتمادی</v>
      </c>
      <c r="M24" s="351" t="str">
        <f>SHG!Q23</f>
        <v>امنه سپهوند</v>
      </c>
      <c r="N24" s="351" t="str">
        <f>SHG!R23</f>
        <v>محمد ازادی نسب</v>
      </c>
      <c r="O24" s="352">
        <f>SHG!N23</f>
        <v>805675516</v>
      </c>
      <c r="P24" s="351">
        <f>payesh!X62</f>
        <v>1650000</v>
      </c>
      <c r="Q24" s="354">
        <f>payesh!X82</f>
        <v>0</v>
      </c>
    </row>
    <row r="25" spans="4:17" ht="18.75" thickBot="1" x14ac:dyDescent="0.45">
      <c r="D25" s="355">
        <f>SHG!B24</f>
        <v>21</v>
      </c>
      <c r="E25" s="349">
        <f>SHG!C24</f>
        <v>0</v>
      </c>
      <c r="F25" s="343">
        <f>SHG!D24</f>
        <v>0</v>
      </c>
      <c r="G25" s="343">
        <f>SHG!E24</f>
        <v>0</v>
      </c>
      <c r="H25" s="344">
        <f>payesh!Y15</f>
        <v>0</v>
      </c>
      <c r="I25" s="343">
        <f>SHG!F24</f>
        <v>0</v>
      </c>
      <c r="J25" s="345"/>
      <c r="K25" s="343">
        <f>payesh!Y22</f>
        <v>0</v>
      </c>
      <c r="L25" s="343">
        <f>SHG!P24</f>
        <v>0</v>
      </c>
      <c r="M25" s="343">
        <f>SHG!Q24</f>
        <v>0</v>
      </c>
      <c r="N25" s="343">
        <f>SHG!R24</f>
        <v>0</v>
      </c>
      <c r="O25" s="344">
        <f>SHG!N24</f>
        <v>0</v>
      </c>
      <c r="P25" s="343">
        <f>payesh!Y62</f>
        <v>0</v>
      </c>
      <c r="Q25" s="346">
        <f>payesh!Y82</f>
        <v>0</v>
      </c>
    </row>
    <row r="26" spans="4:17" ht="18.75" thickBot="1" x14ac:dyDescent="0.45">
      <c r="D26" s="348">
        <f>SHG!B25</f>
        <v>22</v>
      </c>
      <c r="E26" s="350">
        <f>SHG!C25</f>
        <v>0</v>
      </c>
      <c r="F26" s="351">
        <f>SHG!D25</f>
        <v>0</v>
      </c>
      <c r="G26" s="351">
        <f>SHG!E25</f>
        <v>0</v>
      </c>
      <c r="H26" s="352">
        <f>payesh!Z15</f>
        <v>0</v>
      </c>
      <c r="I26" s="351">
        <f>SHG!F25</f>
        <v>0</v>
      </c>
      <c r="J26" s="353"/>
      <c r="K26" s="351">
        <f>payesh!Z22</f>
        <v>0</v>
      </c>
      <c r="L26" s="351">
        <f>SHG!P25</f>
        <v>0</v>
      </c>
      <c r="M26" s="351">
        <f>SHG!Q25</f>
        <v>0</v>
      </c>
      <c r="N26" s="351">
        <f>SHG!R25</f>
        <v>0</v>
      </c>
      <c r="O26" s="352">
        <f>SHG!N25</f>
        <v>0</v>
      </c>
      <c r="P26" s="351">
        <f>payesh!Z62</f>
        <v>0</v>
      </c>
      <c r="Q26" s="354">
        <f>payesh!Z82</f>
        <v>0</v>
      </c>
    </row>
    <row r="27" spans="4:17" ht="18.75" thickBot="1" x14ac:dyDescent="0.45">
      <c r="D27" s="355">
        <f>SHG!B26</f>
        <v>23</v>
      </c>
      <c r="E27" s="349">
        <f>SHG!C26</f>
        <v>0</v>
      </c>
      <c r="F27" s="343">
        <f>SHG!D26</f>
        <v>0</v>
      </c>
      <c r="G27" s="343">
        <f>SHG!E26</f>
        <v>0</v>
      </c>
      <c r="H27" s="344">
        <f>payesh!AA15</f>
        <v>0</v>
      </c>
      <c r="I27" s="343">
        <f>SHG!F26</f>
        <v>0</v>
      </c>
      <c r="J27" s="345"/>
      <c r="K27" s="343">
        <f>payesh!AA22</f>
        <v>0</v>
      </c>
      <c r="L27" s="343">
        <f>SHG!P26</f>
        <v>0</v>
      </c>
      <c r="M27" s="343">
        <f>SHG!Q26</f>
        <v>0</v>
      </c>
      <c r="N27" s="343">
        <f>SHG!R26</f>
        <v>0</v>
      </c>
      <c r="O27" s="344">
        <f>SHG!N26</f>
        <v>0</v>
      </c>
      <c r="P27" s="343">
        <f>payesh!AA62</f>
        <v>0</v>
      </c>
      <c r="Q27" s="346">
        <f>payesh!AA82</f>
        <v>0</v>
      </c>
    </row>
    <row r="28" spans="4:17" ht="18.75" thickBot="1" x14ac:dyDescent="0.45">
      <c r="D28" s="348">
        <f>SHG!B27</f>
        <v>24</v>
      </c>
      <c r="E28" s="350">
        <f>SHG!C27</f>
        <v>0</v>
      </c>
      <c r="F28" s="351">
        <f>SHG!D27</f>
        <v>0</v>
      </c>
      <c r="G28" s="351">
        <f>SHG!E27</f>
        <v>0</v>
      </c>
      <c r="H28" s="352">
        <f>payesh!AB15</f>
        <v>0</v>
      </c>
      <c r="I28" s="351">
        <f>SHG!F27</f>
        <v>0</v>
      </c>
      <c r="J28" s="353"/>
      <c r="K28" s="351">
        <f>payesh!AB22</f>
        <v>0</v>
      </c>
      <c r="L28" s="351">
        <f>SHG!P27</f>
        <v>0</v>
      </c>
      <c r="M28" s="351">
        <f>SHG!Q27</f>
        <v>0</v>
      </c>
      <c r="N28" s="351">
        <f>SHG!R27</f>
        <v>0</v>
      </c>
      <c r="O28" s="352">
        <f>SHG!N27</f>
        <v>0</v>
      </c>
      <c r="P28" s="351">
        <f>payesh!AB62</f>
        <v>0</v>
      </c>
      <c r="Q28" s="354">
        <f>payesh!AB82</f>
        <v>0</v>
      </c>
    </row>
    <row r="29" spans="4:17" ht="18.75" thickBot="1" x14ac:dyDescent="0.45">
      <c r="D29" s="355">
        <f>SHG!B28</f>
        <v>25</v>
      </c>
      <c r="E29" s="349">
        <f>SHG!C28</f>
        <v>0</v>
      </c>
      <c r="F29" s="343">
        <f>SHG!D28</f>
        <v>0</v>
      </c>
      <c r="G29" s="343">
        <f>SHG!E28</f>
        <v>0</v>
      </c>
      <c r="H29" s="344">
        <f>payesh!AC15</f>
        <v>0</v>
      </c>
      <c r="I29" s="343">
        <f>SHG!F28</f>
        <v>0</v>
      </c>
      <c r="J29" s="345"/>
      <c r="K29" s="343">
        <f>payesh!AC22</f>
        <v>0</v>
      </c>
      <c r="L29" s="343">
        <f>SHG!P28</f>
        <v>0</v>
      </c>
      <c r="M29" s="343">
        <f>SHG!Q28</f>
        <v>0</v>
      </c>
      <c r="N29" s="343">
        <f>SHG!R28</f>
        <v>0</v>
      </c>
      <c r="O29" s="344">
        <f>SHG!N28</f>
        <v>0</v>
      </c>
      <c r="P29" s="343">
        <f>payesh!AC62</f>
        <v>0</v>
      </c>
      <c r="Q29" s="346">
        <f>payesh!AC82</f>
        <v>0</v>
      </c>
    </row>
    <row r="30" spans="4:17" ht="18.75" thickBot="1" x14ac:dyDescent="0.45">
      <c r="D30" s="348">
        <f>SHG!B29</f>
        <v>26</v>
      </c>
      <c r="E30" s="350">
        <f>SHG!C29</f>
        <v>0</v>
      </c>
      <c r="F30" s="351">
        <f>SHG!D29</f>
        <v>0</v>
      </c>
      <c r="G30" s="351">
        <f>SHG!E29</f>
        <v>0</v>
      </c>
      <c r="H30" s="352">
        <f>payesh!AD15</f>
        <v>0</v>
      </c>
      <c r="I30" s="351">
        <f>SHG!F29</f>
        <v>0</v>
      </c>
      <c r="J30" s="353"/>
      <c r="K30" s="351">
        <f>payesh!AD22</f>
        <v>0</v>
      </c>
      <c r="L30" s="351">
        <f>SHG!P29</f>
        <v>0</v>
      </c>
      <c r="M30" s="351">
        <f>SHG!Q29</f>
        <v>0</v>
      </c>
      <c r="N30" s="351">
        <f>SHG!R29</f>
        <v>0</v>
      </c>
      <c r="O30" s="352">
        <f>SHG!N29</f>
        <v>0</v>
      </c>
      <c r="P30" s="351">
        <f>payesh!AD62</f>
        <v>0</v>
      </c>
      <c r="Q30" s="354">
        <f>payesh!AD82</f>
        <v>0</v>
      </c>
    </row>
    <row r="31" spans="4:17" ht="18.75" thickBot="1" x14ac:dyDescent="0.45">
      <c r="D31" s="355">
        <f>SHG!B30</f>
        <v>27</v>
      </c>
      <c r="E31" s="349">
        <f>SHG!C30</f>
        <v>0</v>
      </c>
      <c r="F31" s="343">
        <f>SHG!D30</f>
        <v>0</v>
      </c>
      <c r="G31" s="343">
        <f>SHG!E30</f>
        <v>0</v>
      </c>
      <c r="H31" s="344">
        <f>payesh!AE15</f>
        <v>0</v>
      </c>
      <c r="I31" s="343">
        <f>SHG!F30</f>
        <v>0</v>
      </c>
      <c r="J31" s="345"/>
      <c r="K31" s="343">
        <f>payesh!AE22</f>
        <v>0</v>
      </c>
      <c r="L31" s="343">
        <f>SHG!P30</f>
        <v>0</v>
      </c>
      <c r="M31" s="343">
        <f>SHG!Q30</f>
        <v>0</v>
      </c>
      <c r="N31" s="343">
        <f>SHG!R30</f>
        <v>0</v>
      </c>
      <c r="O31" s="344">
        <f>SHG!N30</f>
        <v>0</v>
      </c>
      <c r="P31" s="343">
        <f>payesh!AE62</f>
        <v>0</v>
      </c>
      <c r="Q31" s="346">
        <f>payesh!AE82</f>
        <v>0</v>
      </c>
    </row>
    <row r="32" spans="4:17" ht="18.75" thickBot="1" x14ac:dyDescent="0.45">
      <c r="D32" s="348">
        <f>SHG!B31</f>
        <v>28</v>
      </c>
      <c r="E32" s="350">
        <f>SHG!C31</f>
        <v>0</v>
      </c>
      <c r="F32" s="351">
        <f>SHG!D31</f>
        <v>0</v>
      </c>
      <c r="G32" s="351">
        <f>SHG!E31</f>
        <v>0</v>
      </c>
      <c r="H32" s="352">
        <f>payesh!AF15</f>
        <v>0</v>
      </c>
      <c r="I32" s="351">
        <f>SHG!F31</f>
        <v>0</v>
      </c>
      <c r="J32" s="353"/>
      <c r="K32" s="351">
        <f>payesh!AF22</f>
        <v>0</v>
      </c>
      <c r="L32" s="351">
        <f>SHG!P31</f>
        <v>0</v>
      </c>
      <c r="M32" s="351">
        <f>SHG!Q31</f>
        <v>0</v>
      </c>
      <c r="N32" s="351">
        <f>SHG!R31</f>
        <v>0</v>
      </c>
      <c r="O32" s="352">
        <f>SHG!N31</f>
        <v>0</v>
      </c>
      <c r="P32" s="351">
        <f>payesh!AF62</f>
        <v>0</v>
      </c>
      <c r="Q32" s="354">
        <f>payesh!AF82</f>
        <v>0</v>
      </c>
    </row>
    <row r="33" spans="4:17" ht="18.75" thickBot="1" x14ac:dyDescent="0.45">
      <c r="D33" s="355">
        <f>SHG!B32</f>
        <v>29</v>
      </c>
      <c r="E33" s="349">
        <f>SHG!C32</f>
        <v>0</v>
      </c>
      <c r="F33" s="343">
        <f>SHG!D32</f>
        <v>0</v>
      </c>
      <c r="G33" s="343">
        <f>SHG!E32</f>
        <v>0</v>
      </c>
      <c r="H33" s="344">
        <f>payesh!AG15</f>
        <v>0</v>
      </c>
      <c r="I33" s="343">
        <f>SHG!F32</f>
        <v>0</v>
      </c>
      <c r="J33" s="345"/>
      <c r="K33" s="343">
        <f>payesh!AG22</f>
        <v>0</v>
      </c>
      <c r="L33" s="343">
        <f>SHG!P32</f>
        <v>0</v>
      </c>
      <c r="M33" s="343">
        <f>SHG!Q32</f>
        <v>0</v>
      </c>
      <c r="N33" s="343">
        <f>SHG!R32</f>
        <v>0</v>
      </c>
      <c r="O33" s="344">
        <f>SHG!N32</f>
        <v>0</v>
      </c>
      <c r="P33" s="343">
        <f>payesh!AG62</f>
        <v>0</v>
      </c>
      <c r="Q33" s="346">
        <f>payesh!AG82</f>
        <v>0</v>
      </c>
    </row>
    <row r="34" spans="4:17" ht="18.75" thickBot="1" x14ac:dyDescent="0.45">
      <c r="D34" s="348">
        <f>SHG!B33</f>
        <v>30</v>
      </c>
      <c r="E34" s="350">
        <f>SHG!C33</f>
        <v>0</v>
      </c>
      <c r="F34" s="351">
        <f>SHG!D33</f>
        <v>0</v>
      </c>
      <c r="G34" s="351">
        <f>SHG!E33</f>
        <v>0</v>
      </c>
      <c r="H34" s="352">
        <f>payesh!AH15</f>
        <v>0</v>
      </c>
      <c r="I34" s="351">
        <f>SHG!F33</f>
        <v>0</v>
      </c>
      <c r="J34" s="353"/>
      <c r="K34" s="351">
        <f>payesh!AH22</f>
        <v>0</v>
      </c>
      <c r="L34" s="351">
        <f>SHG!P33</f>
        <v>0</v>
      </c>
      <c r="M34" s="351">
        <f>SHG!Q33</f>
        <v>0</v>
      </c>
      <c r="N34" s="351">
        <f>SHG!R33</f>
        <v>0</v>
      </c>
      <c r="O34" s="352">
        <f>SHG!N33</f>
        <v>0</v>
      </c>
      <c r="P34" s="351">
        <f>payesh!AH62</f>
        <v>0</v>
      </c>
      <c r="Q34" s="354">
        <f>payesh!AH82</f>
        <v>0</v>
      </c>
    </row>
    <row r="35" spans="4:17" ht="18.75" thickBot="1" x14ac:dyDescent="0.45">
      <c r="D35" s="355">
        <f>SHG!B34</f>
        <v>31</v>
      </c>
      <c r="E35" s="349">
        <f>SHG!C34</f>
        <v>0</v>
      </c>
      <c r="F35" s="343">
        <f>SHG!D34</f>
        <v>0</v>
      </c>
      <c r="G35" s="343">
        <f>SHG!E34</f>
        <v>0</v>
      </c>
      <c r="H35" s="344">
        <f>payesh!AI15</f>
        <v>0</v>
      </c>
      <c r="I35" s="343">
        <f>SHG!F34</f>
        <v>0</v>
      </c>
      <c r="J35" s="345"/>
      <c r="K35" s="343">
        <f>payesh!AI22</f>
        <v>0</v>
      </c>
      <c r="L35" s="343">
        <f>SHG!P34</f>
        <v>0</v>
      </c>
      <c r="M35" s="343">
        <f>SHG!Q34</f>
        <v>0</v>
      </c>
      <c r="N35" s="343">
        <f>SHG!R34</f>
        <v>0</v>
      </c>
      <c r="O35" s="344">
        <f>SHG!N34</f>
        <v>0</v>
      </c>
      <c r="P35" s="343">
        <f>payesh!AI62</f>
        <v>0</v>
      </c>
      <c r="Q35" s="346">
        <f>payesh!AI82</f>
        <v>0</v>
      </c>
    </row>
    <row r="36" spans="4:17" ht="18.75" thickBot="1" x14ac:dyDescent="0.45">
      <c r="D36" s="348">
        <f>SHG!B35</f>
        <v>32</v>
      </c>
      <c r="E36" s="350">
        <f>SHG!C35</f>
        <v>0</v>
      </c>
      <c r="F36" s="351">
        <f>SHG!D35</f>
        <v>0</v>
      </c>
      <c r="G36" s="351">
        <f>SHG!E35</f>
        <v>0</v>
      </c>
      <c r="H36" s="352">
        <f>payesh!AJ15</f>
        <v>0</v>
      </c>
      <c r="I36" s="351">
        <f>SHG!F35</f>
        <v>0</v>
      </c>
      <c r="J36" s="353"/>
      <c r="K36" s="351">
        <f>payesh!AJ22</f>
        <v>0</v>
      </c>
      <c r="L36" s="351">
        <f>SHG!P35</f>
        <v>0</v>
      </c>
      <c r="M36" s="351">
        <f>SHG!Q35</f>
        <v>0</v>
      </c>
      <c r="N36" s="351">
        <f>SHG!R35</f>
        <v>0</v>
      </c>
      <c r="O36" s="352">
        <f>SHG!N35</f>
        <v>0</v>
      </c>
      <c r="P36" s="351">
        <f>payesh!AJ62</f>
        <v>0</v>
      </c>
      <c r="Q36" s="354">
        <f>payesh!AJ82</f>
        <v>0</v>
      </c>
    </row>
    <row r="37" spans="4:17" ht="18.75" thickBot="1" x14ac:dyDescent="0.45">
      <c r="D37" s="355">
        <f>SHG!B36</f>
        <v>33</v>
      </c>
      <c r="E37" s="349">
        <f>SHG!C36</f>
        <v>0</v>
      </c>
      <c r="F37" s="343">
        <f>SHG!D36</f>
        <v>0</v>
      </c>
      <c r="G37" s="343">
        <f>SHG!E36</f>
        <v>0</v>
      </c>
      <c r="H37" s="344">
        <f>payesh!AK15</f>
        <v>0</v>
      </c>
      <c r="I37" s="343">
        <f>SHG!F36</f>
        <v>0</v>
      </c>
      <c r="J37" s="345"/>
      <c r="K37" s="343">
        <f>payesh!AK22</f>
        <v>0</v>
      </c>
      <c r="L37" s="343">
        <f>SHG!P36</f>
        <v>0</v>
      </c>
      <c r="M37" s="343">
        <f>SHG!Q36</f>
        <v>0</v>
      </c>
      <c r="N37" s="343">
        <f>SHG!R36</f>
        <v>0</v>
      </c>
      <c r="O37" s="344">
        <f>SHG!N36</f>
        <v>0</v>
      </c>
      <c r="P37" s="343">
        <f>payesh!AK62</f>
        <v>0</v>
      </c>
      <c r="Q37" s="346">
        <f>payesh!AK82</f>
        <v>0</v>
      </c>
    </row>
    <row r="38" spans="4:17" ht="18.75" thickBot="1" x14ac:dyDescent="0.45">
      <c r="D38" s="348">
        <f>SHG!B37</f>
        <v>34</v>
      </c>
      <c r="E38" s="350">
        <f>SHG!C37</f>
        <v>0</v>
      </c>
      <c r="F38" s="351">
        <f>SHG!D37</f>
        <v>0</v>
      </c>
      <c r="G38" s="351">
        <f>SHG!E37</f>
        <v>0</v>
      </c>
      <c r="H38" s="352">
        <f>payesh!AL15</f>
        <v>0</v>
      </c>
      <c r="I38" s="351">
        <f>SHG!F37</f>
        <v>0</v>
      </c>
      <c r="J38" s="353"/>
      <c r="K38" s="351">
        <f>payesh!AL22</f>
        <v>0</v>
      </c>
      <c r="L38" s="351">
        <f>SHG!P37</f>
        <v>0</v>
      </c>
      <c r="M38" s="351">
        <f>SHG!Q37</f>
        <v>0</v>
      </c>
      <c r="N38" s="351">
        <f>SHG!R37</f>
        <v>0</v>
      </c>
      <c r="O38" s="352">
        <f>SHG!N37</f>
        <v>0</v>
      </c>
      <c r="P38" s="351">
        <f>payesh!AL62</f>
        <v>0</v>
      </c>
      <c r="Q38" s="354">
        <f>payesh!AL82</f>
        <v>0</v>
      </c>
    </row>
    <row r="39" spans="4:17" ht="18.75" thickBot="1" x14ac:dyDescent="0.45">
      <c r="D39" s="355">
        <f>SHG!B38</f>
        <v>35</v>
      </c>
      <c r="E39" s="349">
        <f>SHG!C38</f>
        <v>0</v>
      </c>
      <c r="F39" s="343">
        <f>SHG!D38</f>
        <v>0</v>
      </c>
      <c r="G39" s="343">
        <f>SHG!E38</f>
        <v>0</v>
      </c>
      <c r="H39" s="344">
        <f>payesh!AM15</f>
        <v>0</v>
      </c>
      <c r="I39" s="343">
        <f>SHG!F38</f>
        <v>0</v>
      </c>
      <c r="J39" s="345"/>
      <c r="K39" s="343">
        <f>payesh!AM22</f>
        <v>0</v>
      </c>
      <c r="L39" s="343">
        <f>SHG!P38</f>
        <v>0</v>
      </c>
      <c r="M39" s="343">
        <f>SHG!Q38</f>
        <v>0</v>
      </c>
      <c r="N39" s="343">
        <f>SHG!R38</f>
        <v>0</v>
      </c>
      <c r="O39" s="344">
        <f>SHG!N38</f>
        <v>0</v>
      </c>
      <c r="P39" s="343">
        <f>payesh!AM62</f>
        <v>0</v>
      </c>
      <c r="Q39" s="346">
        <f>payesh!AM82</f>
        <v>0</v>
      </c>
    </row>
    <row r="40" spans="4:17" ht="18.75" thickBot="1" x14ac:dyDescent="0.45">
      <c r="D40" s="348">
        <f>SHG!B39</f>
        <v>36</v>
      </c>
      <c r="E40" s="350">
        <f>SHG!C39</f>
        <v>0</v>
      </c>
      <c r="F40" s="351">
        <f>SHG!D39</f>
        <v>0</v>
      </c>
      <c r="G40" s="351">
        <f>SHG!E39</f>
        <v>0</v>
      </c>
      <c r="H40" s="352">
        <f>payesh!AN15</f>
        <v>0</v>
      </c>
      <c r="I40" s="351">
        <f>SHG!F39</f>
        <v>0</v>
      </c>
      <c r="J40" s="353"/>
      <c r="K40" s="351">
        <f>payesh!AN22</f>
        <v>0</v>
      </c>
      <c r="L40" s="351">
        <f>SHG!P39</f>
        <v>0</v>
      </c>
      <c r="M40" s="351">
        <f>SHG!Q39</f>
        <v>0</v>
      </c>
      <c r="N40" s="351">
        <f>SHG!R39</f>
        <v>0</v>
      </c>
      <c r="O40" s="352">
        <f>SHG!N39</f>
        <v>0</v>
      </c>
      <c r="P40" s="351">
        <f>payesh!AN62</f>
        <v>0</v>
      </c>
      <c r="Q40" s="354">
        <f>payesh!AN82</f>
        <v>0</v>
      </c>
    </row>
    <row r="41" spans="4:17" ht="18.75" thickBot="1" x14ac:dyDescent="0.45">
      <c r="D41" s="355">
        <f>SHG!B40</f>
        <v>37</v>
      </c>
      <c r="E41" s="349">
        <f>SHG!C40</f>
        <v>0</v>
      </c>
      <c r="F41" s="343">
        <f>SHG!D40</f>
        <v>0</v>
      </c>
      <c r="G41" s="343">
        <f>SHG!E40</f>
        <v>0</v>
      </c>
      <c r="H41" s="344">
        <f>payesh!AO15</f>
        <v>0</v>
      </c>
      <c r="I41" s="343">
        <f>SHG!F40</f>
        <v>0</v>
      </c>
      <c r="J41" s="345"/>
      <c r="K41" s="343">
        <f>payesh!AO22</f>
        <v>0</v>
      </c>
      <c r="L41" s="343">
        <f>SHG!P40</f>
        <v>0</v>
      </c>
      <c r="M41" s="343">
        <f>SHG!Q40</f>
        <v>0</v>
      </c>
      <c r="N41" s="343">
        <f>SHG!R40</f>
        <v>0</v>
      </c>
      <c r="O41" s="344">
        <f>SHG!N40</f>
        <v>0</v>
      </c>
      <c r="P41" s="343">
        <f>payesh!AO62</f>
        <v>0</v>
      </c>
      <c r="Q41" s="346">
        <f>payesh!AO82</f>
        <v>0</v>
      </c>
    </row>
    <row r="42" spans="4:17" ht="18.75" thickBot="1" x14ac:dyDescent="0.45">
      <c r="D42" s="348">
        <f>SHG!B41</f>
        <v>38</v>
      </c>
      <c r="E42" s="350">
        <f>SHG!C41</f>
        <v>0</v>
      </c>
      <c r="F42" s="351">
        <f>SHG!D41</f>
        <v>0</v>
      </c>
      <c r="G42" s="351">
        <f>SHG!E41</f>
        <v>0</v>
      </c>
      <c r="H42" s="352">
        <f>payesh!AP15</f>
        <v>0</v>
      </c>
      <c r="I42" s="351">
        <f>SHG!F41</f>
        <v>0</v>
      </c>
      <c r="J42" s="353"/>
      <c r="K42" s="351">
        <f>payesh!AP22</f>
        <v>0</v>
      </c>
      <c r="L42" s="351">
        <f>SHG!P41</f>
        <v>0</v>
      </c>
      <c r="M42" s="351">
        <f>SHG!Q41</f>
        <v>0</v>
      </c>
      <c r="N42" s="351">
        <f>SHG!R41</f>
        <v>0</v>
      </c>
      <c r="O42" s="352">
        <f>SHG!N41</f>
        <v>0</v>
      </c>
      <c r="P42" s="351">
        <f>payesh!AP62</f>
        <v>0</v>
      </c>
      <c r="Q42" s="354">
        <f>payesh!AP82</f>
        <v>0</v>
      </c>
    </row>
    <row r="43" spans="4:17" ht="18.75" thickBot="1" x14ac:dyDescent="0.45">
      <c r="D43" s="355">
        <f>SHG!B42</f>
        <v>39</v>
      </c>
      <c r="E43" s="349">
        <f>SHG!C42</f>
        <v>0</v>
      </c>
      <c r="F43" s="343">
        <f>SHG!D42</f>
        <v>0</v>
      </c>
      <c r="G43" s="343">
        <f>SHG!E42</f>
        <v>0</v>
      </c>
      <c r="H43" s="344">
        <f>payesh!AQ15</f>
        <v>0</v>
      </c>
      <c r="I43" s="343">
        <f>SHG!F42</f>
        <v>0</v>
      </c>
      <c r="J43" s="345"/>
      <c r="K43" s="343">
        <f>payesh!AQ22</f>
        <v>0</v>
      </c>
      <c r="L43" s="343">
        <f>SHG!P42</f>
        <v>0</v>
      </c>
      <c r="M43" s="343">
        <f>SHG!Q42</f>
        <v>0</v>
      </c>
      <c r="N43" s="343">
        <f>SHG!R42</f>
        <v>0</v>
      </c>
      <c r="O43" s="344">
        <f>SHG!N42</f>
        <v>0</v>
      </c>
      <c r="P43" s="343">
        <f>payesh!AQ62</f>
        <v>0</v>
      </c>
      <c r="Q43" s="346">
        <f>payesh!AQ82</f>
        <v>0</v>
      </c>
    </row>
    <row r="44" spans="4:17" ht="18.75" thickBot="1" x14ac:dyDescent="0.45">
      <c r="D44" s="348">
        <f>SHG!B43</f>
        <v>40</v>
      </c>
      <c r="E44" s="350">
        <f>SHG!C43</f>
        <v>0</v>
      </c>
      <c r="F44" s="351">
        <f>SHG!D43</f>
        <v>0</v>
      </c>
      <c r="G44" s="351">
        <f>SHG!E43</f>
        <v>0</v>
      </c>
      <c r="H44" s="352">
        <f>payesh!AR15</f>
        <v>0</v>
      </c>
      <c r="I44" s="351">
        <f>SHG!F43</f>
        <v>0</v>
      </c>
      <c r="J44" s="353"/>
      <c r="K44" s="351">
        <f>payesh!AR22</f>
        <v>0</v>
      </c>
      <c r="L44" s="351">
        <f>SHG!P43</f>
        <v>0</v>
      </c>
      <c r="M44" s="351">
        <f>SHG!Q43</f>
        <v>0</v>
      </c>
      <c r="N44" s="351">
        <f>SHG!R43</f>
        <v>0</v>
      </c>
      <c r="O44" s="352">
        <f>SHG!N43</f>
        <v>0</v>
      </c>
      <c r="P44" s="351">
        <f>payesh!AR62</f>
        <v>0</v>
      </c>
      <c r="Q44" s="354">
        <f>payesh!AR82</f>
        <v>0</v>
      </c>
    </row>
  </sheetData>
  <conditionalFormatting sqref="P5:P44">
    <cfRule type="dataBar" priority="11">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44">
    <cfRule type="dataBar" priority="1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44">
    <cfRule type="dataBar" priority="13">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4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P5:P44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Q5:Q44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K5:K44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N20"/>
  <sheetViews>
    <sheetView rightToLeft="1" workbookViewId="0">
      <selection activeCell="BO1" sqref="BO1:FB1048576"/>
    </sheetView>
  </sheetViews>
  <sheetFormatPr defaultColWidth="9.140625" defaultRowHeight="17.25" x14ac:dyDescent="0.25"/>
  <cols>
    <col min="1" max="3" width="9.140625" style="62"/>
    <col min="4" max="4" width="17" style="62" customWidth="1"/>
    <col min="5" max="5" width="22.140625" style="62" customWidth="1"/>
    <col min="6" max="11" width="9.140625" style="62"/>
    <col min="12" max="12" width="9.85546875" style="62" bestFit="1" customWidth="1"/>
    <col min="13" max="17" width="9.140625" style="62"/>
    <col min="18" max="18" width="10.85546875" style="62" customWidth="1"/>
    <col min="19" max="19" width="9.140625" style="62"/>
    <col min="20" max="21" width="11.140625" style="62" customWidth="1"/>
    <col min="22" max="22" width="11.42578125" style="62" bestFit="1" customWidth="1"/>
    <col min="23" max="23" width="9.140625" style="62"/>
    <col min="24" max="25" width="9.5703125" style="62" bestFit="1" customWidth="1"/>
    <col min="26" max="26" width="11" style="62" customWidth="1"/>
    <col min="27" max="27" width="4.140625" style="62" customWidth="1"/>
    <col min="28" max="66" width="4" style="62" customWidth="1"/>
    <col min="67" max="16384" width="9.140625" style="62"/>
  </cols>
  <sheetData>
    <row r="1" spans="3:66" ht="18" thickBot="1" x14ac:dyDescent="0.3"/>
    <row r="2" spans="3:66" ht="18.75" thickBot="1" x14ac:dyDescent="0.3">
      <c r="C2" s="641" t="s">
        <v>71</v>
      </c>
      <c r="D2" s="642"/>
      <c r="E2" s="642"/>
      <c r="F2" s="642"/>
      <c r="G2" s="642"/>
      <c r="H2" s="642"/>
      <c r="I2" s="642"/>
      <c r="J2" s="642"/>
      <c r="K2" s="642"/>
      <c r="L2" s="642"/>
      <c r="M2" s="643"/>
      <c r="N2" s="643"/>
      <c r="O2" s="643"/>
      <c r="P2" s="643"/>
      <c r="Q2" s="643"/>
      <c r="R2" s="643"/>
      <c r="S2" s="642"/>
      <c r="T2" s="642"/>
      <c r="U2" s="642"/>
      <c r="V2" s="642"/>
      <c r="W2" s="643"/>
      <c r="X2" s="643"/>
      <c r="Y2" s="643"/>
      <c r="Z2" s="644"/>
      <c r="AA2" s="213">
        <f>payesh!E7</f>
        <v>1</v>
      </c>
      <c r="AB2" s="214">
        <f>payesh!F7</f>
        <v>2</v>
      </c>
      <c r="AC2" s="214">
        <f>payesh!G7</f>
        <v>3</v>
      </c>
      <c r="AD2" s="214">
        <f>payesh!H7</f>
        <v>4</v>
      </c>
      <c r="AE2" s="214">
        <f>payesh!I7</f>
        <v>5</v>
      </c>
      <c r="AF2" s="214">
        <f>payesh!J7</f>
        <v>6</v>
      </c>
      <c r="AG2" s="214">
        <f>payesh!K7</f>
        <v>7</v>
      </c>
      <c r="AH2" s="214">
        <f>payesh!L7</f>
        <v>8</v>
      </c>
      <c r="AI2" s="214">
        <f>payesh!M7</f>
        <v>9</v>
      </c>
      <c r="AJ2" s="214">
        <f>payesh!N7</f>
        <v>10</v>
      </c>
      <c r="AK2" s="214">
        <f>payesh!O7</f>
        <v>11</v>
      </c>
      <c r="AL2" s="214">
        <f>payesh!P7</f>
        <v>12</v>
      </c>
      <c r="AM2" s="214">
        <f>payesh!Q7</f>
        <v>13</v>
      </c>
      <c r="AN2" s="214">
        <f>payesh!R7</f>
        <v>14</v>
      </c>
      <c r="AO2" s="214">
        <f>payesh!S7</f>
        <v>15</v>
      </c>
      <c r="AP2" s="214">
        <f>payesh!T7</f>
        <v>16</v>
      </c>
      <c r="AQ2" s="214">
        <f>payesh!U7</f>
        <v>17</v>
      </c>
      <c r="AR2" s="214">
        <f>payesh!V7</f>
        <v>18</v>
      </c>
      <c r="AS2" s="214">
        <f>payesh!W7</f>
        <v>19</v>
      </c>
      <c r="AT2" s="214">
        <f>payesh!X7</f>
        <v>20</v>
      </c>
      <c r="AU2" s="214">
        <f>payesh!Y7</f>
        <v>21</v>
      </c>
      <c r="AV2" s="214">
        <f>payesh!Z7</f>
        <v>22</v>
      </c>
      <c r="AW2" s="214">
        <f>payesh!AA7</f>
        <v>23</v>
      </c>
      <c r="AX2" s="214">
        <f>payesh!AB7</f>
        <v>24</v>
      </c>
      <c r="AY2" s="214">
        <f>payesh!AC7</f>
        <v>25</v>
      </c>
      <c r="AZ2" s="214">
        <f>payesh!AD7</f>
        <v>26</v>
      </c>
      <c r="BA2" s="214">
        <f>payesh!AE7</f>
        <v>27</v>
      </c>
      <c r="BB2" s="214">
        <f>payesh!AF7</f>
        <v>28</v>
      </c>
      <c r="BC2" s="214">
        <f>payesh!AG7</f>
        <v>29</v>
      </c>
      <c r="BD2" s="214">
        <f>payesh!AH7</f>
        <v>30</v>
      </c>
      <c r="BE2" s="214">
        <f>payesh!AI7</f>
        <v>31</v>
      </c>
      <c r="BF2" s="214">
        <f>payesh!AJ7</f>
        <v>32</v>
      </c>
      <c r="BG2" s="214">
        <f>payesh!AK7</f>
        <v>33</v>
      </c>
      <c r="BH2" s="214">
        <f>payesh!AL7</f>
        <v>34</v>
      </c>
      <c r="BI2" s="214">
        <f>payesh!AM7</f>
        <v>35</v>
      </c>
      <c r="BJ2" s="214">
        <f>payesh!AN7</f>
        <v>36</v>
      </c>
      <c r="BK2" s="214">
        <f>payesh!AO7</f>
        <v>37</v>
      </c>
      <c r="BL2" s="214">
        <f>payesh!AP7</f>
        <v>38</v>
      </c>
      <c r="BM2" s="214">
        <f>payesh!AQ7</f>
        <v>39</v>
      </c>
      <c r="BN2" s="214">
        <f>payesh!AR7</f>
        <v>40</v>
      </c>
    </row>
    <row r="3" spans="3:66" ht="18.75" customHeight="1" x14ac:dyDescent="0.25">
      <c r="C3" s="645" t="s">
        <v>256</v>
      </c>
      <c r="D3" s="646"/>
      <c r="E3" s="646"/>
      <c r="F3" s="646"/>
      <c r="G3" s="646"/>
      <c r="H3" s="646"/>
      <c r="I3" s="646"/>
      <c r="J3" s="646"/>
      <c r="K3" s="646"/>
      <c r="L3" s="647"/>
      <c r="M3" s="654" t="s">
        <v>278</v>
      </c>
      <c r="N3" s="655"/>
      <c r="O3" s="655"/>
      <c r="P3" s="655"/>
      <c r="Q3" s="655"/>
      <c r="R3" s="656"/>
      <c r="S3" s="646" t="str">
        <f>C3</f>
        <v>شهرستان:</v>
      </c>
      <c r="T3" s="646"/>
      <c r="U3" s="646"/>
      <c r="V3" s="646"/>
      <c r="W3" s="635" t="s">
        <v>281</v>
      </c>
      <c r="X3" s="636"/>
      <c r="Y3" s="636"/>
      <c r="Z3" s="637"/>
      <c r="AA3" s="217" t="str">
        <f>payesh!E5</f>
        <v>سرابباغ</v>
      </c>
      <c r="AB3" s="172" t="str">
        <f>payesh!F5</f>
        <v>سرابباغ</v>
      </c>
      <c r="AC3" s="172" t="str">
        <f>payesh!G5</f>
        <v>سرابباغ</v>
      </c>
      <c r="AD3" s="172" t="str">
        <f>payesh!H5</f>
        <v>ژیور</v>
      </c>
      <c r="AE3" s="172" t="str">
        <f>payesh!I5</f>
        <v>چم کبود</v>
      </c>
      <c r="AF3" s="172" t="str">
        <f>payesh!J5</f>
        <v>بانکت</v>
      </c>
      <c r="AG3" s="172" t="str">
        <f>payesh!K5</f>
        <v>هفت چشمه</v>
      </c>
      <c r="AH3" s="172" t="str">
        <f>payesh!L5</f>
        <v>چم کبود</v>
      </c>
      <c r="AI3" s="172" t="str">
        <f>payesh!M5</f>
        <v>بانکت</v>
      </c>
      <c r="AJ3" s="172" t="str">
        <f>payesh!N5</f>
        <v>سرابباغ</v>
      </c>
      <c r="AK3" s="172" t="str">
        <f>payesh!O5</f>
        <v>ژیور</v>
      </c>
      <c r="AL3" s="172" t="str">
        <f>payesh!P5</f>
        <v>چم کبود</v>
      </c>
      <c r="AM3" s="172" t="str">
        <f>payesh!Q5</f>
        <v>سرابباغ</v>
      </c>
      <c r="AN3" s="172" t="str">
        <f>payesh!R5</f>
        <v>سرابباغ</v>
      </c>
      <c r="AO3" s="172" t="str">
        <f>payesh!S5</f>
        <v>چم کبود</v>
      </c>
      <c r="AP3" s="172" t="str">
        <f>payesh!T5</f>
        <v>سرابباغ</v>
      </c>
      <c r="AQ3" s="172" t="str">
        <f>payesh!U5</f>
        <v>پشت قلعه</v>
      </c>
      <c r="AR3" s="172" t="str">
        <f>payesh!V5</f>
        <v>پشت قلعه</v>
      </c>
      <c r="AS3" s="172" t="str">
        <f>payesh!W5</f>
        <v>پشت قلعه</v>
      </c>
      <c r="AT3" s="172" t="str">
        <f>payesh!X5</f>
        <v>پشت قلعه</v>
      </c>
      <c r="AU3" s="172">
        <f>payesh!Y5</f>
        <v>0</v>
      </c>
      <c r="AV3" s="172">
        <f>payesh!Z5</f>
        <v>0</v>
      </c>
      <c r="AW3" s="172">
        <f>payesh!AA5</f>
        <v>0</v>
      </c>
      <c r="AX3" s="172">
        <f>payesh!AB5</f>
        <v>0</v>
      </c>
      <c r="AY3" s="172">
        <f>payesh!AC5</f>
        <v>0</v>
      </c>
      <c r="AZ3" s="172">
        <f>payesh!AD5</f>
        <v>0</v>
      </c>
      <c r="BA3" s="172">
        <f>payesh!AE5</f>
        <v>0</v>
      </c>
      <c r="BB3" s="172">
        <f>payesh!AF5</f>
        <v>0</v>
      </c>
      <c r="BC3" s="172">
        <f>payesh!AG5</f>
        <v>0</v>
      </c>
      <c r="BD3" s="172">
        <f>payesh!AH5</f>
        <v>0</v>
      </c>
      <c r="BE3" s="172">
        <f>payesh!AI5</f>
        <v>0</v>
      </c>
      <c r="BF3" s="172">
        <f>payesh!AJ5</f>
        <v>0</v>
      </c>
      <c r="BG3" s="172">
        <f>payesh!AK5</f>
        <v>0</v>
      </c>
      <c r="BH3" s="172">
        <f>payesh!AL5</f>
        <v>0</v>
      </c>
      <c r="BI3" s="172">
        <f>payesh!AM5</f>
        <v>0</v>
      </c>
      <c r="BJ3" s="172">
        <f>payesh!AN5</f>
        <v>0</v>
      </c>
      <c r="BK3" s="172">
        <f>payesh!AO5</f>
        <v>0</v>
      </c>
      <c r="BL3" s="172">
        <f>payesh!AP5</f>
        <v>0</v>
      </c>
      <c r="BM3" s="172">
        <f>payesh!AQ5</f>
        <v>0</v>
      </c>
      <c r="BN3" s="172">
        <f>payesh!AR5</f>
        <v>0</v>
      </c>
    </row>
    <row r="4" spans="3:66" ht="33.75" thickBot="1" x14ac:dyDescent="0.3">
      <c r="C4" s="648" t="str">
        <f>payesh!E4</f>
        <v>ابدانان</v>
      </c>
      <c r="D4" s="649"/>
      <c r="E4" s="649"/>
      <c r="F4" s="649"/>
      <c r="G4" s="649"/>
      <c r="H4" s="649"/>
      <c r="I4" s="649"/>
      <c r="J4" s="649"/>
      <c r="K4" s="649"/>
      <c r="L4" s="650"/>
      <c r="M4" s="657"/>
      <c r="N4" s="658"/>
      <c r="O4" s="658"/>
      <c r="P4" s="658"/>
      <c r="Q4" s="658"/>
      <c r="R4" s="659"/>
      <c r="S4" s="649" t="str">
        <f>C4</f>
        <v>ابدانان</v>
      </c>
      <c r="T4" s="649"/>
      <c r="U4" s="649"/>
      <c r="V4" s="649"/>
      <c r="W4" s="638"/>
      <c r="X4" s="639"/>
      <c r="Y4" s="639"/>
      <c r="Z4" s="640"/>
      <c r="AA4" s="218" t="str">
        <f>payesh!E6</f>
        <v>پوپک</v>
      </c>
      <c r="AB4" s="173" t="str">
        <f>payesh!F6</f>
        <v>شیرین بانو</v>
      </c>
      <c r="AC4" s="173" t="str">
        <f>payesh!G6</f>
        <v>نرگس</v>
      </c>
      <c r="AD4" s="173" t="str">
        <f>payesh!H6</f>
        <v>ارکیده</v>
      </c>
      <c r="AE4" s="173" t="str">
        <f>payesh!I6</f>
        <v>هانا</v>
      </c>
      <c r="AF4" s="173" t="str">
        <f>payesh!J6</f>
        <v>شاپرک</v>
      </c>
      <c r="AG4" s="173" t="str">
        <f>payesh!K6</f>
        <v>بهار</v>
      </c>
      <c r="AH4" s="173" t="str">
        <f>payesh!L6</f>
        <v>شفق</v>
      </c>
      <c r="AI4" s="173" t="str">
        <f>payesh!M6</f>
        <v>گلبرگ</v>
      </c>
      <c r="AJ4" s="173" t="str">
        <f>payesh!N6</f>
        <v>ستایش</v>
      </c>
      <c r="AK4" s="173" t="str">
        <f>payesh!O6</f>
        <v>پونه</v>
      </c>
      <c r="AL4" s="173" t="str">
        <f>payesh!P6</f>
        <v>نگین</v>
      </c>
      <c r="AM4" s="173" t="str">
        <f>payesh!Q6</f>
        <v>باران</v>
      </c>
      <c r="AN4" s="173" t="str">
        <f>payesh!R6</f>
        <v>گل مریم</v>
      </c>
      <c r="AO4" s="173" t="str">
        <f>payesh!S6</f>
        <v>آوا</v>
      </c>
      <c r="AP4" s="173" t="str">
        <f>payesh!T6</f>
        <v>افتاب</v>
      </c>
      <c r="AQ4" s="173" t="str">
        <f>payesh!U6</f>
        <v>دریا</v>
      </c>
      <c r="AR4" s="173" t="str">
        <f>payesh!V6</f>
        <v>شکوفه</v>
      </c>
      <c r="AS4" s="173" t="str">
        <f>payesh!W6</f>
        <v>افق</v>
      </c>
      <c r="AT4" s="173" t="str">
        <f>payesh!X6</f>
        <v>مهتاب</v>
      </c>
      <c r="AU4" s="173">
        <f>payesh!Y6</f>
        <v>0</v>
      </c>
      <c r="AV4" s="173">
        <f>payesh!Z6</f>
        <v>0</v>
      </c>
      <c r="AW4" s="173">
        <f>payesh!AA6</f>
        <v>0</v>
      </c>
      <c r="AX4" s="173">
        <f>payesh!AB6</f>
        <v>0</v>
      </c>
      <c r="AY4" s="173">
        <f>payesh!AC6</f>
        <v>0</v>
      </c>
      <c r="AZ4" s="173">
        <f>payesh!AD6</f>
        <v>0</v>
      </c>
      <c r="BA4" s="173">
        <f>payesh!AE6</f>
        <v>0</v>
      </c>
      <c r="BB4" s="173">
        <f>payesh!AF6</f>
        <v>0</v>
      </c>
      <c r="BC4" s="173">
        <f>payesh!AG6</f>
        <v>0</v>
      </c>
      <c r="BD4" s="173">
        <f>payesh!AH6</f>
        <v>0</v>
      </c>
      <c r="BE4" s="173">
        <f>payesh!AI6</f>
        <v>0</v>
      </c>
      <c r="BF4" s="173">
        <f>payesh!AJ6</f>
        <v>0</v>
      </c>
      <c r="BG4" s="173">
        <f>payesh!AK6</f>
        <v>0</v>
      </c>
      <c r="BH4" s="173">
        <f>payesh!AL6</f>
        <v>0</v>
      </c>
      <c r="BI4" s="173">
        <f>payesh!AM6</f>
        <v>0</v>
      </c>
      <c r="BJ4" s="173">
        <f>payesh!AN6</f>
        <v>0</v>
      </c>
      <c r="BK4" s="173">
        <f>payesh!AO6</f>
        <v>0</v>
      </c>
      <c r="BL4" s="173">
        <f>payesh!AP6</f>
        <v>0</v>
      </c>
      <c r="BM4" s="173">
        <f>payesh!AQ6</f>
        <v>0</v>
      </c>
      <c r="BN4" s="173">
        <f>payesh!AR6</f>
        <v>0</v>
      </c>
    </row>
    <row r="5" spans="3:66" ht="81.75" thickBot="1" x14ac:dyDescent="0.3">
      <c r="C5" s="148" t="s">
        <v>257</v>
      </c>
      <c r="D5" s="149" t="s">
        <v>258</v>
      </c>
      <c r="E5" s="149" t="s">
        <v>259</v>
      </c>
      <c r="F5" s="188" t="s">
        <v>282</v>
      </c>
      <c r="G5" s="187" t="s">
        <v>260</v>
      </c>
      <c r="H5" s="150" t="s">
        <v>261</v>
      </c>
      <c r="I5" s="150" t="s">
        <v>262</v>
      </c>
      <c r="J5" s="150" t="s">
        <v>263</v>
      </c>
      <c r="K5" s="150" t="s">
        <v>264</v>
      </c>
      <c r="L5" s="163" t="s">
        <v>265</v>
      </c>
      <c r="M5" s="168" t="s">
        <v>90</v>
      </c>
      <c r="N5" s="169" t="s">
        <v>261</v>
      </c>
      <c r="O5" s="169" t="s">
        <v>262</v>
      </c>
      <c r="P5" s="169" t="s">
        <v>263</v>
      </c>
      <c r="Q5" s="169" t="s">
        <v>264</v>
      </c>
      <c r="R5" s="170" t="s">
        <v>265</v>
      </c>
      <c r="S5" s="165" t="s">
        <v>260</v>
      </c>
      <c r="T5" s="159" t="s">
        <v>279</v>
      </c>
      <c r="U5" s="159" t="s">
        <v>280</v>
      </c>
      <c r="V5" s="160" t="s">
        <v>265</v>
      </c>
      <c r="W5" s="201" t="s">
        <v>90</v>
      </c>
      <c r="X5" s="202" t="s">
        <v>279</v>
      </c>
      <c r="Y5" s="202" t="s">
        <v>280</v>
      </c>
      <c r="Z5" s="212" t="s">
        <v>265</v>
      </c>
      <c r="AA5" s="219" t="str">
        <f>payesh!E18</f>
        <v>ت9</v>
      </c>
      <c r="AB5" s="220" t="str">
        <f>payesh!F18</f>
        <v>ت9</v>
      </c>
      <c r="AC5" s="220" t="str">
        <f>payesh!G18</f>
        <v>ت9</v>
      </c>
      <c r="AD5" s="220" t="str">
        <f>payesh!H18</f>
        <v>ت9</v>
      </c>
      <c r="AE5" s="220" t="str">
        <f>payesh!I18</f>
        <v>ت6</v>
      </c>
      <c r="AF5" s="220" t="str">
        <f>payesh!J18</f>
        <v>ت1</v>
      </c>
      <c r="AG5" s="220" t="str">
        <f>payesh!K18</f>
        <v>ت7</v>
      </c>
      <c r="AH5" s="220" t="str">
        <f>payesh!L18</f>
        <v>ت7</v>
      </c>
      <c r="AI5" s="220" t="str">
        <f>payesh!M18</f>
        <v>ت7</v>
      </c>
      <c r="AJ5" s="220" t="str">
        <f>payesh!N18</f>
        <v>ت7</v>
      </c>
      <c r="AK5" s="220" t="str">
        <f>payesh!O18</f>
        <v>ت4</v>
      </c>
      <c r="AL5" s="220" t="str">
        <f>payesh!P18</f>
        <v>ت4</v>
      </c>
      <c r="AM5" s="220" t="str">
        <f>payesh!Q18</f>
        <v>ت7</v>
      </c>
      <c r="AN5" s="220" t="str">
        <f>payesh!R18</f>
        <v>ت2</v>
      </c>
      <c r="AO5" s="220" t="str">
        <f>payesh!S18</f>
        <v>پ12</v>
      </c>
      <c r="AP5" s="220" t="str">
        <f>payesh!T18</f>
        <v>ب7</v>
      </c>
      <c r="AQ5" s="220" t="str">
        <f>payesh!U18</f>
        <v>ب7</v>
      </c>
      <c r="AR5" s="220" t="str">
        <f>payesh!V18</f>
        <v>پ7</v>
      </c>
      <c r="AS5" s="220" t="str">
        <f>payesh!W18</f>
        <v>پ7</v>
      </c>
      <c r="AT5" s="220" t="str">
        <f>payesh!X18</f>
        <v>ب7</v>
      </c>
      <c r="AU5" s="220">
        <f>payesh!Y18</f>
        <v>0</v>
      </c>
      <c r="AV5" s="220">
        <f>payesh!Z18</f>
        <v>0</v>
      </c>
      <c r="AW5" s="220">
        <f>payesh!AA18</f>
        <v>0</v>
      </c>
      <c r="AX5" s="220">
        <f>payesh!AB18</f>
        <v>0</v>
      </c>
      <c r="AY5" s="220">
        <f>payesh!AC18</f>
        <v>0</v>
      </c>
      <c r="AZ5" s="220">
        <f>payesh!AD18</f>
        <v>0</v>
      </c>
      <c r="BA5" s="220">
        <f>payesh!AE18</f>
        <v>0</v>
      </c>
      <c r="BB5" s="220">
        <f>payesh!AF18</f>
        <v>0</v>
      </c>
      <c r="BC5" s="220">
        <f>payesh!AG18</f>
        <v>0</v>
      </c>
      <c r="BD5" s="220">
        <f>payesh!AH18</f>
        <v>0</v>
      </c>
      <c r="BE5" s="220">
        <f>payesh!AI18</f>
        <v>0</v>
      </c>
      <c r="BF5" s="220">
        <f>payesh!AJ18</f>
        <v>0</v>
      </c>
      <c r="BG5" s="220">
        <f>payesh!AK18</f>
        <v>0</v>
      </c>
      <c r="BH5" s="220">
        <f>payesh!AL18</f>
        <v>0</v>
      </c>
      <c r="BI5" s="220">
        <f>payesh!AM18</f>
        <v>0</v>
      </c>
      <c r="BJ5" s="220">
        <f>payesh!AN18</f>
        <v>0</v>
      </c>
      <c r="BK5" s="220">
        <f>payesh!AO18</f>
        <v>0</v>
      </c>
      <c r="BL5" s="220">
        <f>payesh!AP18</f>
        <v>0</v>
      </c>
      <c r="BM5" s="220">
        <f>payesh!AQ18</f>
        <v>0</v>
      </c>
      <c r="BN5" s="220">
        <f>payesh!AR18</f>
        <v>0</v>
      </c>
    </row>
    <row r="6" spans="3:66" ht="35.25" customHeight="1" x14ac:dyDescent="0.25">
      <c r="C6" s="151">
        <v>1</v>
      </c>
      <c r="D6" s="152" t="s">
        <v>266</v>
      </c>
      <c r="E6" s="152" t="s">
        <v>267</v>
      </c>
      <c r="F6" s="189" t="s">
        <v>284</v>
      </c>
      <c r="G6" s="166">
        <v>0.15</v>
      </c>
      <c r="H6" s="153">
        <f>L6*0.5</f>
        <v>1050000</v>
      </c>
      <c r="I6" s="153">
        <f>L6*0.17857143</f>
        <v>375000.00300000003</v>
      </c>
      <c r="J6" s="153">
        <f>L6*0.17142857</f>
        <v>359999.99700000003</v>
      </c>
      <c r="K6" s="153">
        <f t="shared" ref="K6:K11" si="0">L6*0.15</f>
        <v>315000</v>
      </c>
      <c r="L6" s="171">
        <f>L12*G6</f>
        <v>2100000</v>
      </c>
      <c r="M6" s="192">
        <f t="shared" ref="M6:M11" si="1">SUM(AA6:BN6)</f>
        <v>0</v>
      </c>
      <c r="N6" s="191">
        <f>$M$6*H6</f>
        <v>0</v>
      </c>
      <c r="O6" s="156">
        <f>$M$6*I6</f>
        <v>0</v>
      </c>
      <c r="P6" s="156">
        <f>$M$6*J6</f>
        <v>0</v>
      </c>
      <c r="Q6" s="156">
        <f>$M$6*K6</f>
        <v>0</v>
      </c>
      <c r="R6" s="157">
        <f>SUM(N6:Q6)</f>
        <v>0</v>
      </c>
      <c r="S6" s="195">
        <v>0.15</v>
      </c>
      <c r="T6" s="194">
        <f>(V6/4)*3</f>
        <v>315000</v>
      </c>
      <c r="U6" s="161">
        <f>(V6/4)</f>
        <v>105000</v>
      </c>
      <c r="V6" s="162">
        <f>V12*S6</f>
        <v>420000</v>
      </c>
      <c r="W6" s="192">
        <f t="shared" ref="W6:W11" si="2">SUM(AA6:BN6)</f>
        <v>0</v>
      </c>
      <c r="X6" s="221">
        <f>$W$6*T6</f>
        <v>0</v>
      </c>
      <c r="Y6" s="207">
        <f>$W$6*U6</f>
        <v>0</v>
      </c>
      <c r="Z6" s="209">
        <f>SUM(X6:Y6)</f>
        <v>0</v>
      </c>
      <c r="AA6" s="215">
        <f>IF(payesh!E147=$F$6,1,IF(payesh!E147="کسر شد",-1,0))</f>
        <v>0</v>
      </c>
      <c r="AB6" s="216">
        <f>IF(payesh!F147=$F$6,1,IF(payesh!F147="کسر شد",-1,0))</f>
        <v>0</v>
      </c>
      <c r="AC6" s="216">
        <f>IF(payesh!G147=$F$6,1,IF(payesh!G147="کسر شد",-1,0))</f>
        <v>0</v>
      </c>
      <c r="AD6" s="216">
        <f>IF(payesh!H147=$F$6,1,IF(payesh!H147="کسر شد",-1,0))</f>
        <v>0</v>
      </c>
      <c r="AE6" s="216">
        <f>IF(payesh!I147=$F$6,1,IF(payesh!I147="کسر شد",-1,0))</f>
        <v>0</v>
      </c>
      <c r="AF6" s="216">
        <f>IF(payesh!J147=$F$6,1,IF(payesh!J147="کسر شد",-1,0))</f>
        <v>0</v>
      </c>
      <c r="AG6" s="216">
        <f>IF(payesh!K147=$F$6,1,IF(payesh!K147="کسر شد",-1,0))</f>
        <v>0</v>
      </c>
      <c r="AH6" s="216">
        <f>IF(payesh!L147=$F$6,1,IF(payesh!L147="کسر شد",-1,0))</f>
        <v>0</v>
      </c>
      <c r="AI6" s="216">
        <f>IF(payesh!M147=$F$6,1,IF(payesh!M147="کسر شد",-1,0))</f>
        <v>0</v>
      </c>
      <c r="AJ6" s="216">
        <f>IF(payesh!N147=$F$6,1,IF(payesh!N147="کسر شد",-1,0))</f>
        <v>0</v>
      </c>
      <c r="AK6" s="216">
        <f>IF(payesh!O147=$F$6,1,IF(payesh!O147="کسر شد",-1,0))</f>
        <v>0</v>
      </c>
      <c r="AL6" s="216">
        <f>IF(payesh!P147=$F$6,1,IF(payesh!P147="کسر شد",-1,0))</f>
        <v>0</v>
      </c>
      <c r="AM6" s="216">
        <f>IF(payesh!Q147=$F$6,1,IF(payesh!Q147="کسر شد",-1,0))</f>
        <v>0</v>
      </c>
      <c r="AN6" s="216">
        <f>IF(payesh!R147=$F$6,1,IF(payesh!R147="کسر شد",-1,0))</f>
        <v>0</v>
      </c>
      <c r="AO6" s="216">
        <f>IF(payesh!S147=$F$6,1,IF(payesh!S147="کسر شد",-1,0))</f>
        <v>0</v>
      </c>
      <c r="AP6" s="216">
        <f>IF(payesh!T147=$F$6,1,IF(payesh!T147="کسر شد",-1,0))</f>
        <v>0</v>
      </c>
      <c r="AQ6" s="216">
        <f>IF(payesh!U147=$F$6,1,IF(payesh!U147="کسر شد",-1,0))</f>
        <v>0</v>
      </c>
      <c r="AR6" s="216">
        <f>IF(payesh!V147=$F$6,1,IF(payesh!V147="کسر شد",-1,0))</f>
        <v>0</v>
      </c>
      <c r="AS6" s="216">
        <f>IF(payesh!W147=$F$6,1,IF(payesh!W147="کسر شد",-1,0))</f>
        <v>0</v>
      </c>
      <c r="AT6" s="216">
        <f>IF(payesh!X147=$F$6,1,IF(payesh!X147="کسر شد",-1,0))</f>
        <v>0</v>
      </c>
      <c r="AU6" s="216">
        <f>IF(payesh!Y147=$F$6,1,IF(payesh!Y147="کسر شد",-1,0))</f>
        <v>0</v>
      </c>
      <c r="AV6" s="216">
        <f>IF(payesh!Z147=$F$6,1,IF(payesh!Z147="کسر شد",-1,0))</f>
        <v>0</v>
      </c>
      <c r="AW6" s="216">
        <f>IF(payesh!AA147=$F$6,1,IF(payesh!AA147="کسر شد",-1,0))</f>
        <v>0</v>
      </c>
      <c r="AX6" s="216">
        <f>IF(payesh!AB147=$F$6,1,IF(payesh!AB147="کسر شد",-1,0))</f>
        <v>0</v>
      </c>
      <c r="AY6" s="216">
        <f>IF(payesh!AC147=$F$6,1,IF(payesh!AC147="کسر شد",-1,0))</f>
        <v>0</v>
      </c>
      <c r="AZ6" s="216">
        <f>IF(payesh!AD147=$F$6,1,IF(payesh!AD147="کسر شد",-1,0))</f>
        <v>0</v>
      </c>
      <c r="BA6" s="216">
        <f>IF(payesh!AE147=$F$6,1,IF(payesh!AE147="کسر شد",-1,0))</f>
        <v>0</v>
      </c>
      <c r="BB6" s="216">
        <f>IF(payesh!AF147=$F$6,1,IF(payesh!AF147="کسر شد",-1,0))</f>
        <v>0</v>
      </c>
      <c r="BC6" s="216">
        <f>IF(payesh!AG147=$F$6,1,IF(payesh!AG147="کسر شد",-1,0))</f>
        <v>0</v>
      </c>
      <c r="BD6" s="216">
        <f>IF(payesh!AH147=$F$6,1,IF(payesh!AH147="کسر شد",-1,0))</f>
        <v>0</v>
      </c>
      <c r="BE6" s="216">
        <f>IF(payesh!AI147=$F$6,1,IF(payesh!AI147="کسر شد",-1,0))</f>
        <v>0</v>
      </c>
      <c r="BF6" s="216">
        <f>IF(payesh!AJ147=$F$6,1,IF(payesh!AJ147="کسر شد",-1,0))</f>
        <v>0</v>
      </c>
      <c r="BG6" s="216">
        <f>IF(payesh!AK147=$F$6,1,IF(payesh!AK147="کسر شد",-1,0))</f>
        <v>0</v>
      </c>
      <c r="BH6" s="216">
        <f>IF(payesh!AL147=$F$6,1,IF(payesh!AL147="کسر شد",-1,0))</f>
        <v>0</v>
      </c>
      <c r="BI6" s="216">
        <f>IF(payesh!AM147=$F$6,1,IF(payesh!AM147="کسر شد",-1,0))</f>
        <v>0</v>
      </c>
      <c r="BJ6" s="216">
        <f>IF(payesh!AN147=$F$6,1,IF(payesh!AN147="کسر شد",-1,0))</f>
        <v>0</v>
      </c>
      <c r="BK6" s="216">
        <f>IF(payesh!AO147=$F$6,1,IF(payesh!AO147="کسر شد",-1,0))</f>
        <v>0</v>
      </c>
      <c r="BL6" s="216">
        <f>IF(payesh!AP147=$F$6,1,IF(payesh!AP147="کسر شد",-1,0))</f>
        <v>0</v>
      </c>
      <c r="BM6" s="216">
        <f>IF(payesh!AQ147=$F$6,1,IF(payesh!AQ147="کسر شد",-1,0))</f>
        <v>0</v>
      </c>
      <c r="BN6" s="216">
        <f>IF(payesh!AR147=$F$6,1,IF(payesh!AR147="کسر شد",-1,0))</f>
        <v>0</v>
      </c>
    </row>
    <row r="7" spans="3:66" ht="44.25" customHeight="1" x14ac:dyDescent="0.25">
      <c r="C7" s="151">
        <v>2</v>
      </c>
      <c r="D7" s="152" t="s">
        <v>268</v>
      </c>
      <c r="E7" s="152" t="s">
        <v>269</v>
      </c>
      <c r="F7" s="189" t="s">
        <v>283</v>
      </c>
      <c r="G7" s="166">
        <v>0.2</v>
      </c>
      <c r="H7" s="153">
        <f t="shared" ref="H7:H11" si="3">L7*0.5</f>
        <v>1400000</v>
      </c>
      <c r="I7" s="153">
        <f>L7*0.17857143</f>
        <v>500000.00400000002</v>
      </c>
      <c r="J7" s="153">
        <f t="shared" ref="J7:J11" si="4">L7*0.17142857</f>
        <v>479999.99599999998</v>
      </c>
      <c r="K7" s="153">
        <f t="shared" si="0"/>
        <v>420000</v>
      </c>
      <c r="L7" s="164">
        <f>L12*G7</f>
        <v>2800000</v>
      </c>
      <c r="M7" s="193">
        <f t="shared" si="1"/>
        <v>0</v>
      </c>
      <c r="N7" s="191">
        <f>$M$7*H7</f>
        <v>0</v>
      </c>
      <c r="O7" s="156">
        <f t="shared" ref="O7:Q7" si="5">$M$7*I7</f>
        <v>0</v>
      </c>
      <c r="P7" s="156">
        <f t="shared" si="5"/>
        <v>0</v>
      </c>
      <c r="Q7" s="156">
        <f t="shared" si="5"/>
        <v>0</v>
      </c>
      <c r="R7" s="157">
        <f t="shared" ref="R7:R11" si="6">SUM(N7:Q7)</f>
        <v>0</v>
      </c>
      <c r="S7" s="196">
        <v>0.2</v>
      </c>
      <c r="T7" s="194">
        <f>(V7/4)*3</f>
        <v>420000</v>
      </c>
      <c r="U7" s="161">
        <f t="shared" ref="U7:U11" si="7">(V7/4)</f>
        <v>140000</v>
      </c>
      <c r="V7" s="162">
        <f>V12*S7</f>
        <v>560000</v>
      </c>
      <c r="W7" s="224">
        <f t="shared" si="2"/>
        <v>0</v>
      </c>
      <c r="X7" s="222">
        <f>$W$7*T7</f>
        <v>0</v>
      </c>
      <c r="Y7" s="206">
        <f>$W$7*U7</f>
        <v>0</v>
      </c>
      <c r="Z7" s="210">
        <f t="shared" ref="Z7:Z11" si="8">SUM(X7:Y7)</f>
        <v>0</v>
      </c>
      <c r="AA7" s="174">
        <f>IF(payesh!E148=$F$7,1,IF(payesh!E148="کسر شد",-1,0))</f>
        <v>0</v>
      </c>
      <c r="AB7" s="175">
        <f>IF(payesh!F148=$F$7,1,IF(payesh!F148="کسر شد",-1,0))</f>
        <v>0</v>
      </c>
      <c r="AC7" s="175">
        <f>IF(payesh!G148=$F$7,1,IF(payesh!G148="کسر شد",-1,0))</f>
        <v>0</v>
      </c>
      <c r="AD7" s="175">
        <f>IF(payesh!H148=$F$7,1,IF(payesh!H148="کسر شد",-1,0))</f>
        <v>0</v>
      </c>
      <c r="AE7" s="175">
        <f>IF(payesh!I148=$F$7,1,IF(payesh!I148="کسر شد",-1,0))</f>
        <v>0</v>
      </c>
      <c r="AF7" s="175">
        <f>IF(payesh!J148=$F$7,1,IF(payesh!J148="کسر شد",-1,0))</f>
        <v>0</v>
      </c>
      <c r="AG7" s="175">
        <f>IF(payesh!K148=$F$7,1,IF(payesh!K148="کسر شد",-1,0))</f>
        <v>0</v>
      </c>
      <c r="AH7" s="175">
        <f>IF(payesh!L148=$F$7,1,IF(payesh!L148="کسر شد",-1,0))</f>
        <v>0</v>
      </c>
      <c r="AI7" s="175">
        <f>IF(payesh!M148=$F$7,1,IF(payesh!M148="کسر شد",-1,0))</f>
        <v>0</v>
      </c>
      <c r="AJ7" s="175">
        <f>IF(payesh!N148=$F$7,1,IF(payesh!N148="کسر شد",-1,0))</f>
        <v>0</v>
      </c>
      <c r="AK7" s="175">
        <f>IF(payesh!O148=$F$7,1,IF(payesh!O148="کسر شد",-1,0))</f>
        <v>0</v>
      </c>
      <c r="AL7" s="175">
        <f>IF(payesh!P148=$F$7,1,IF(payesh!P148="کسر شد",-1,0))</f>
        <v>0</v>
      </c>
      <c r="AM7" s="175">
        <f>IF(payesh!Q148=$F$7,1,IF(payesh!Q148="کسر شد",-1,0))</f>
        <v>0</v>
      </c>
      <c r="AN7" s="175">
        <f>IF(payesh!R148=$F$7,1,IF(payesh!R148="کسر شد",-1,0))</f>
        <v>0</v>
      </c>
      <c r="AO7" s="175">
        <f>IF(payesh!S148=$F$7,1,IF(payesh!S148="کسر شد",-1,0))</f>
        <v>0</v>
      </c>
      <c r="AP7" s="175">
        <f>IF(payesh!T148=$F$7,1,IF(payesh!T148="کسر شد",-1,0))</f>
        <v>0</v>
      </c>
      <c r="AQ7" s="175">
        <f>IF(payesh!U148=$F$7,1,IF(payesh!U148="کسر شد",-1,0))</f>
        <v>0</v>
      </c>
      <c r="AR7" s="175">
        <f>IF(payesh!V148=$F$7,1,IF(payesh!V148="کسر شد",-1,0))</f>
        <v>0</v>
      </c>
      <c r="AS7" s="175">
        <f>IF(payesh!W148=$F$7,1,IF(payesh!W148="کسر شد",-1,0))</f>
        <v>0</v>
      </c>
      <c r="AT7" s="175">
        <f>IF(payesh!X148=$F$7,1,IF(payesh!X148="کسر شد",-1,0))</f>
        <v>0</v>
      </c>
      <c r="AU7" s="175">
        <f>IF(payesh!Y148=$F$7,1,IF(payesh!Y148="کسر شد",-1,0))</f>
        <v>0</v>
      </c>
      <c r="AV7" s="175">
        <f>IF(payesh!Z148=$F$7,1,IF(payesh!Z148="کسر شد",-1,0))</f>
        <v>0</v>
      </c>
      <c r="AW7" s="175">
        <f>IF(payesh!AA148=$F$7,1,IF(payesh!AA148="کسر شد",-1,0))</f>
        <v>0</v>
      </c>
      <c r="AX7" s="175">
        <f>IF(payesh!AB148=$F$7,1,IF(payesh!AB148="کسر شد",-1,0))</f>
        <v>0</v>
      </c>
      <c r="AY7" s="175">
        <f>IF(payesh!AC148=$F$7,1,IF(payesh!AC148="کسر شد",-1,0))</f>
        <v>0</v>
      </c>
      <c r="AZ7" s="175">
        <f>IF(payesh!AD148=$F$7,1,IF(payesh!AD148="کسر شد",-1,0))</f>
        <v>0</v>
      </c>
      <c r="BA7" s="175">
        <f>IF(payesh!AE148=$F$7,1,IF(payesh!AE148="کسر شد",-1,0))</f>
        <v>0</v>
      </c>
      <c r="BB7" s="175">
        <f>IF(payesh!AF148=$F$7,1,IF(payesh!AF148="کسر شد",-1,0))</f>
        <v>0</v>
      </c>
      <c r="BC7" s="175">
        <f>IF(payesh!AG148=$F$7,1,IF(payesh!AG148="کسر شد",-1,0))</f>
        <v>0</v>
      </c>
      <c r="BD7" s="175">
        <f>IF(payesh!AH148=$F$7,1,IF(payesh!AH148="کسر شد",-1,0))</f>
        <v>0</v>
      </c>
      <c r="BE7" s="175">
        <f>IF(payesh!AI148=$F$7,1,IF(payesh!AI148="کسر شد",-1,0))</f>
        <v>0</v>
      </c>
      <c r="BF7" s="175">
        <f>IF(payesh!AJ148=$F$7,1,IF(payesh!AJ148="کسر شد",-1,0))</f>
        <v>0</v>
      </c>
      <c r="BG7" s="175">
        <f>IF(payesh!AK148=$F$7,1,IF(payesh!AK148="کسر شد",-1,0))</f>
        <v>0</v>
      </c>
      <c r="BH7" s="175">
        <f>IF(payesh!AL148=$F$7,1,IF(payesh!AL148="کسر شد",-1,0))</f>
        <v>0</v>
      </c>
      <c r="BI7" s="175">
        <f>IF(payesh!AM148=$F$7,1,IF(payesh!AM148="کسر شد",-1,0))</f>
        <v>0</v>
      </c>
      <c r="BJ7" s="175">
        <f>IF(payesh!AN148=$F$7,1,IF(payesh!AN148="کسر شد",-1,0))</f>
        <v>0</v>
      </c>
      <c r="BK7" s="175">
        <f>IF(payesh!AO148=$F$7,1,IF(payesh!AO148="کسر شد",-1,0))</f>
        <v>0</v>
      </c>
      <c r="BL7" s="175">
        <f>IF(payesh!AP148=$F$7,1,IF(payesh!AP148="کسر شد",-1,0))</f>
        <v>0</v>
      </c>
      <c r="BM7" s="175">
        <f>IF(payesh!AQ148=$F$7,1,IF(payesh!AQ148="کسر شد",-1,0))</f>
        <v>0</v>
      </c>
      <c r="BN7" s="175">
        <f>IF(payesh!AR148=$F$7,1,IF(payesh!AR148="کسر شد",-1,0))</f>
        <v>0</v>
      </c>
    </row>
    <row r="8" spans="3:66" ht="48.75" customHeight="1" x14ac:dyDescent="0.25">
      <c r="C8" s="151">
        <v>3</v>
      </c>
      <c r="D8" s="152" t="s">
        <v>270</v>
      </c>
      <c r="E8" s="152" t="s">
        <v>271</v>
      </c>
      <c r="F8" s="189" t="s">
        <v>285</v>
      </c>
      <c r="G8" s="166">
        <v>0.25</v>
      </c>
      <c r="H8" s="153">
        <f t="shared" si="3"/>
        <v>1750000</v>
      </c>
      <c r="I8" s="153">
        <f t="shared" ref="I8:I11" si="9">L8*0.17857143</f>
        <v>625000.005</v>
      </c>
      <c r="J8" s="153">
        <f>L8*0.17142857</f>
        <v>599999.995</v>
      </c>
      <c r="K8" s="153">
        <f t="shared" si="0"/>
        <v>525000</v>
      </c>
      <c r="L8" s="164">
        <f>L12*G8</f>
        <v>3500000</v>
      </c>
      <c r="M8" s="193">
        <f t="shared" si="1"/>
        <v>0</v>
      </c>
      <c r="N8" s="191">
        <f>$M$8*H8</f>
        <v>0</v>
      </c>
      <c r="O8" s="156">
        <f t="shared" ref="O8:Q8" si="10">$M$8*I8</f>
        <v>0</v>
      </c>
      <c r="P8" s="156">
        <f t="shared" si="10"/>
        <v>0</v>
      </c>
      <c r="Q8" s="156">
        <f t="shared" si="10"/>
        <v>0</v>
      </c>
      <c r="R8" s="157">
        <f t="shared" si="6"/>
        <v>0</v>
      </c>
      <c r="S8" s="196">
        <v>0.25</v>
      </c>
      <c r="T8" s="194">
        <f t="shared" ref="T8:T11" si="11">(V8/4)*3</f>
        <v>525000</v>
      </c>
      <c r="U8" s="161">
        <f t="shared" si="7"/>
        <v>175000</v>
      </c>
      <c r="V8" s="162">
        <f>V12*S8</f>
        <v>700000</v>
      </c>
      <c r="W8" s="224">
        <f t="shared" si="2"/>
        <v>0</v>
      </c>
      <c r="X8" s="222">
        <f>$W$8*T8</f>
        <v>0</v>
      </c>
      <c r="Y8" s="206">
        <f>$W$8*U8</f>
        <v>0</v>
      </c>
      <c r="Z8" s="210">
        <f t="shared" si="8"/>
        <v>0</v>
      </c>
      <c r="AA8" s="174">
        <f>IF(payesh!E149=$F$8,1,IF(payesh!E149="کسر شد",-1,0))</f>
        <v>0</v>
      </c>
      <c r="AB8" s="175">
        <f>IF(payesh!F149=$F$8,1,IF(payesh!F149="کسر شد",-1,0))</f>
        <v>0</v>
      </c>
      <c r="AC8" s="175">
        <f>IF(payesh!G149=$F$8,1,IF(payesh!G149="کسر شد",-1,0))</f>
        <v>0</v>
      </c>
      <c r="AD8" s="175">
        <f>IF(payesh!H149=$F$8,1,IF(payesh!H149="کسر شد",-1,0))</f>
        <v>0</v>
      </c>
      <c r="AE8" s="175">
        <f>IF(payesh!I149=$F$8,1,IF(payesh!I149="کسر شد",-1,0))</f>
        <v>0</v>
      </c>
      <c r="AF8" s="175">
        <f>IF(payesh!J149=$F$8,1,IF(payesh!J149="کسر شد",-1,0))</f>
        <v>0</v>
      </c>
      <c r="AG8" s="175">
        <f>IF(payesh!K149=$F$8,1,IF(payesh!K149="کسر شد",-1,0))</f>
        <v>0</v>
      </c>
      <c r="AH8" s="175">
        <f>IF(payesh!L149=$F$8,1,IF(payesh!L149="کسر شد",-1,0))</f>
        <v>0</v>
      </c>
      <c r="AI8" s="175">
        <f>IF(payesh!M149=$F$8,1,IF(payesh!M149="کسر شد",-1,0))</f>
        <v>0</v>
      </c>
      <c r="AJ8" s="175">
        <f>IF(payesh!N149=$F$8,1,IF(payesh!N149="کسر شد",-1,0))</f>
        <v>0</v>
      </c>
      <c r="AK8" s="175">
        <f>IF(payesh!O149=$F$8,1,IF(payesh!O149="کسر شد",-1,0))</f>
        <v>0</v>
      </c>
      <c r="AL8" s="175">
        <f>IF(payesh!P149=$F$8,1,IF(payesh!P149="کسر شد",-1,0))</f>
        <v>0</v>
      </c>
      <c r="AM8" s="175">
        <f>IF(payesh!Q149=$F$8,1,IF(payesh!Q149="کسر شد",-1,0))</f>
        <v>0</v>
      </c>
      <c r="AN8" s="175">
        <f>IF(payesh!R149=$F$8,1,IF(payesh!R149="کسر شد",-1,0))</f>
        <v>0</v>
      </c>
      <c r="AO8" s="175">
        <f>IF(payesh!S149=$F$8,1,IF(payesh!S149="کسر شد",-1,0))</f>
        <v>0</v>
      </c>
      <c r="AP8" s="175">
        <f>IF(payesh!T149=$F$8,1,IF(payesh!T149="کسر شد",-1,0))</f>
        <v>0</v>
      </c>
      <c r="AQ8" s="175">
        <f>IF(payesh!U149=$F$8,1,IF(payesh!U149="کسر شد",-1,0))</f>
        <v>0</v>
      </c>
      <c r="AR8" s="175">
        <f>IF(payesh!V149=$F$8,1,IF(payesh!V149="کسر شد",-1,0))</f>
        <v>0</v>
      </c>
      <c r="AS8" s="175">
        <f>IF(payesh!W149=$F$8,1,IF(payesh!W149="کسر شد",-1,0))</f>
        <v>0</v>
      </c>
      <c r="AT8" s="175">
        <f>IF(payesh!X149=$F$8,1,IF(payesh!X149="کسر شد",-1,0))</f>
        <v>0</v>
      </c>
      <c r="AU8" s="175">
        <f>IF(payesh!Y149=$F$8,1,IF(payesh!Y149="کسر شد",-1,0))</f>
        <v>0</v>
      </c>
      <c r="AV8" s="175">
        <f>IF(payesh!Z149=$F$8,1,IF(payesh!Z149="کسر شد",-1,0))</f>
        <v>0</v>
      </c>
      <c r="AW8" s="175">
        <f>IF(payesh!AA149=$F$8,1,IF(payesh!AA149="کسر شد",-1,0))</f>
        <v>0</v>
      </c>
      <c r="AX8" s="175">
        <f>IF(payesh!AB149=$F$8,1,IF(payesh!AB149="کسر شد",-1,0))</f>
        <v>0</v>
      </c>
      <c r="AY8" s="175">
        <f>IF(payesh!AC149=$F$8,1,IF(payesh!AC149="کسر شد",-1,0))</f>
        <v>0</v>
      </c>
      <c r="AZ8" s="175">
        <f>IF(payesh!AD149=$F$8,1,IF(payesh!AD149="کسر شد",-1,0))</f>
        <v>0</v>
      </c>
      <c r="BA8" s="175">
        <f>IF(payesh!AE149=$F$8,1,IF(payesh!AE149="کسر شد",-1,0))</f>
        <v>0</v>
      </c>
      <c r="BB8" s="175">
        <f>IF(payesh!AF149=$F$8,1,IF(payesh!AF149="کسر شد",-1,0))</f>
        <v>0</v>
      </c>
      <c r="BC8" s="175">
        <f>IF(payesh!AG149=$F$8,1,IF(payesh!AG149="کسر شد",-1,0))</f>
        <v>0</v>
      </c>
      <c r="BD8" s="175">
        <f>IF(payesh!AH149=$F$8,1,IF(payesh!AH149="کسر شد",-1,0))</f>
        <v>0</v>
      </c>
      <c r="BE8" s="175">
        <f>IF(payesh!AI149=$F$8,1,IF(payesh!AI149="کسر شد",-1,0))</f>
        <v>0</v>
      </c>
      <c r="BF8" s="175">
        <f>IF(payesh!AJ149=$F$8,1,IF(payesh!AJ149="کسر شد",-1,0))</f>
        <v>0</v>
      </c>
      <c r="BG8" s="175">
        <f>IF(payesh!AK149=$F$8,1,IF(payesh!AK149="کسر شد",-1,0))</f>
        <v>0</v>
      </c>
      <c r="BH8" s="175">
        <f>IF(payesh!AL149=$F$8,1,IF(payesh!AL149="کسر شد",-1,0))</f>
        <v>0</v>
      </c>
      <c r="BI8" s="175">
        <f>IF(payesh!AM149=$F$8,1,IF(payesh!AM149="کسر شد",-1,0))</f>
        <v>0</v>
      </c>
      <c r="BJ8" s="175">
        <f>IF(payesh!AN149=$F$8,1,IF(payesh!AN149="کسر شد",-1,0))</f>
        <v>0</v>
      </c>
      <c r="BK8" s="175">
        <f>IF(payesh!AO149=$F$8,1,IF(payesh!AO149="کسر شد",-1,0))</f>
        <v>0</v>
      </c>
      <c r="BL8" s="175">
        <f>IF(payesh!AP149=$F$8,1,IF(payesh!AP149="کسر شد",-1,0))</f>
        <v>0</v>
      </c>
      <c r="BM8" s="175">
        <f>IF(payesh!AQ149=$F$8,1,IF(payesh!AQ149="کسر شد",-1,0))</f>
        <v>0</v>
      </c>
      <c r="BN8" s="175">
        <f>IF(payesh!AR149=$F$8,1,IF(payesh!AR149="کسر شد",-1,0))</f>
        <v>0</v>
      </c>
    </row>
    <row r="9" spans="3:66" ht="32.25" customHeight="1" x14ac:dyDescent="0.25">
      <c r="C9" s="151">
        <v>4</v>
      </c>
      <c r="D9" s="152" t="s">
        <v>272</v>
      </c>
      <c r="E9" s="152" t="s">
        <v>273</v>
      </c>
      <c r="F9" s="189" t="s">
        <v>286</v>
      </c>
      <c r="G9" s="166">
        <v>0.2</v>
      </c>
      <c r="H9" s="153">
        <f t="shared" si="3"/>
        <v>1400000</v>
      </c>
      <c r="I9" s="153">
        <f t="shared" si="9"/>
        <v>500000.00400000002</v>
      </c>
      <c r="J9" s="153">
        <f t="shared" si="4"/>
        <v>479999.99599999998</v>
      </c>
      <c r="K9" s="153">
        <f t="shared" si="0"/>
        <v>420000</v>
      </c>
      <c r="L9" s="164">
        <f>L12*G9</f>
        <v>2800000</v>
      </c>
      <c r="M9" s="193">
        <f t="shared" si="1"/>
        <v>0</v>
      </c>
      <c r="N9" s="191">
        <f>$M$9*H9</f>
        <v>0</v>
      </c>
      <c r="O9" s="156">
        <f t="shared" ref="O9:Q9" si="12">$M$9*I9</f>
        <v>0</v>
      </c>
      <c r="P9" s="156">
        <f t="shared" si="12"/>
        <v>0</v>
      </c>
      <c r="Q9" s="156">
        <f t="shared" si="12"/>
        <v>0</v>
      </c>
      <c r="R9" s="157">
        <f t="shared" si="6"/>
        <v>0</v>
      </c>
      <c r="S9" s="196">
        <v>0.2</v>
      </c>
      <c r="T9" s="194">
        <f t="shared" si="11"/>
        <v>420000</v>
      </c>
      <c r="U9" s="161">
        <f t="shared" si="7"/>
        <v>140000</v>
      </c>
      <c r="V9" s="162">
        <f>V12*S9</f>
        <v>560000</v>
      </c>
      <c r="W9" s="224">
        <f t="shared" si="2"/>
        <v>0</v>
      </c>
      <c r="X9" s="222">
        <f>$W$9*T9</f>
        <v>0</v>
      </c>
      <c r="Y9" s="206">
        <f>$W$9*U9</f>
        <v>0</v>
      </c>
      <c r="Z9" s="210">
        <f t="shared" si="8"/>
        <v>0</v>
      </c>
      <c r="AA9" s="174">
        <f>IF(payesh!E150=$F$9,1,IF(payesh!E150="کسر شد",-1,0))</f>
        <v>0</v>
      </c>
      <c r="AB9" s="175">
        <f>IF(payesh!F150=$F$9,1,IF(payesh!F150="کسر شد",-1,0))</f>
        <v>0</v>
      </c>
      <c r="AC9" s="175">
        <f>IF(payesh!G150=$F$9,1,IF(payesh!G150="کسر شد",-1,0))</f>
        <v>0</v>
      </c>
      <c r="AD9" s="175">
        <f>IF(payesh!H150=$F$9,1,IF(payesh!H150="کسر شد",-1,0))</f>
        <v>0</v>
      </c>
      <c r="AE9" s="175">
        <f>IF(payesh!I150=$F$9,1,IF(payesh!I150="کسر شد",-1,0))</f>
        <v>0</v>
      </c>
      <c r="AF9" s="175">
        <f>IF(payesh!J150=$F$9,1,IF(payesh!J150="کسر شد",-1,0))</f>
        <v>0</v>
      </c>
      <c r="AG9" s="175">
        <f>IF(payesh!K150=$F$9,1,IF(payesh!K150="کسر شد",-1,0))</f>
        <v>0</v>
      </c>
      <c r="AH9" s="175">
        <f>IF(payesh!L150=$F$9,1,IF(payesh!L150="کسر شد",-1,0))</f>
        <v>0</v>
      </c>
      <c r="AI9" s="175">
        <f>IF(payesh!M150=$F$9,1,IF(payesh!M150="کسر شد",-1,0))</f>
        <v>0</v>
      </c>
      <c r="AJ9" s="175">
        <f>IF(payesh!N150=$F$9,1,IF(payesh!N150="کسر شد",-1,0))</f>
        <v>0</v>
      </c>
      <c r="AK9" s="175">
        <f>IF(payesh!O150=$F$9,1,IF(payesh!O150="کسر شد",-1,0))</f>
        <v>0</v>
      </c>
      <c r="AL9" s="175">
        <f>IF(payesh!P150=$F$9,1,IF(payesh!P150="کسر شد",-1,0))</f>
        <v>0</v>
      </c>
      <c r="AM9" s="175">
        <f>IF(payesh!Q150=$F$9,1,IF(payesh!Q150="کسر شد",-1,0))</f>
        <v>0</v>
      </c>
      <c r="AN9" s="175">
        <f>IF(payesh!R150=$F$9,1,IF(payesh!R150="کسر شد",-1,0))</f>
        <v>0</v>
      </c>
      <c r="AO9" s="175">
        <f>IF(payesh!S150=$F$9,1,IF(payesh!S150="کسر شد",-1,0))</f>
        <v>0</v>
      </c>
      <c r="AP9" s="175">
        <f>IF(payesh!T150=$F$9,1,IF(payesh!T150="کسر شد",-1,0))</f>
        <v>0</v>
      </c>
      <c r="AQ9" s="175">
        <f>IF(payesh!U150=$F$9,1,IF(payesh!U150="کسر شد",-1,0))</f>
        <v>0</v>
      </c>
      <c r="AR9" s="175">
        <f>IF(payesh!V150=$F$9,1,IF(payesh!V150="کسر شد",-1,0))</f>
        <v>0</v>
      </c>
      <c r="AS9" s="175">
        <f>IF(payesh!W150=$F$9,1,IF(payesh!W150="کسر شد",-1,0))</f>
        <v>0</v>
      </c>
      <c r="AT9" s="175">
        <f>IF(payesh!X150=$F$9,1,IF(payesh!X150="کسر شد",-1,0))</f>
        <v>0</v>
      </c>
      <c r="AU9" s="175">
        <f>IF(payesh!Y150=$F$9,1,IF(payesh!Y150="کسر شد",-1,0))</f>
        <v>0</v>
      </c>
      <c r="AV9" s="175">
        <f>IF(payesh!Z150=$F$9,1,IF(payesh!Z150="کسر شد",-1,0))</f>
        <v>0</v>
      </c>
      <c r="AW9" s="175">
        <f>IF(payesh!AA150=$F$9,1,IF(payesh!AA150="کسر شد",-1,0))</f>
        <v>0</v>
      </c>
      <c r="AX9" s="175">
        <f>IF(payesh!AB150=$F$9,1,IF(payesh!AB150="کسر شد",-1,0))</f>
        <v>0</v>
      </c>
      <c r="AY9" s="175">
        <f>IF(payesh!AC150=$F$9,1,IF(payesh!AC150="کسر شد",-1,0))</f>
        <v>0</v>
      </c>
      <c r="AZ9" s="175">
        <f>IF(payesh!AD150=$F$9,1,IF(payesh!AD150="کسر شد",-1,0))</f>
        <v>0</v>
      </c>
      <c r="BA9" s="175">
        <f>IF(payesh!AE150=$F$9,1,IF(payesh!AE150="کسر شد",-1,0))</f>
        <v>0</v>
      </c>
      <c r="BB9" s="175">
        <f>IF(payesh!AF150=$F$9,1,IF(payesh!AF150="کسر شد",-1,0))</f>
        <v>0</v>
      </c>
      <c r="BC9" s="175">
        <f>IF(payesh!AG150=$F$9,1,IF(payesh!AG150="کسر شد",-1,0))</f>
        <v>0</v>
      </c>
      <c r="BD9" s="175">
        <f>IF(payesh!AH150=$F$9,1,IF(payesh!AH150="کسر شد",-1,0))</f>
        <v>0</v>
      </c>
      <c r="BE9" s="175">
        <f>IF(payesh!AI150=$F$9,1,IF(payesh!AI150="کسر شد",-1,0))</f>
        <v>0</v>
      </c>
      <c r="BF9" s="175">
        <f>IF(payesh!AJ150=$F$9,1,IF(payesh!AJ150="کسر شد",-1,0))</f>
        <v>0</v>
      </c>
      <c r="BG9" s="175">
        <f>IF(payesh!AK150=$F$9,1,IF(payesh!AK150="کسر شد",-1,0))</f>
        <v>0</v>
      </c>
      <c r="BH9" s="175">
        <f>IF(payesh!AL150=$F$9,1,IF(payesh!AL150="کسر شد",-1,0))</f>
        <v>0</v>
      </c>
      <c r="BI9" s="175">
        <f>IF(payesh!AM150=$F$9,1,IF(payesh!AM150="کسر شد",-1,0))</f>
        <v>0</v>
      </c>
      <c r="BJ9" s="175">
        <f>IF(payesh!AN150=$F$9,1,IF(payesh!AN150="کسر شد",-1,0))</f>
        <v>0</v>
      </c>
      <c r="BK9" s="175">
        <f>IF(payesh!AO150=$F$9,1,IF(payesh!AO150="کسر شد",-1,0))</f>
        <v>0</v>
      </c>
      <c r="BL9" s="175">
        <f>IF(payesh!AP150=$F$9,1,IF(payesh!AP150="کسر شد",-1,0))</f>
        <v>0</v>
      </c>
      <c r="BM9" s="175">
        <f>IF(payesh!AQ150=$F$9,1,IF(payesh!AQ150="کسر شد",-1,0))</f>
        <v>0</v>
      </c>
      <c r="BN9" s="175">
        <f>IF(payesh!AR150=$F$9,1,IF(payesh!AR150="کسر شد",-1,0))</f>
        <v>0</v>
      </c>
    </row>
    <row r="10" spans="3:66" ht="44.25" customHeight="1" x14ac:dyDescent="0.25">
      <c r="C10" s="151">
        <v>5</v>
      </c>
      <c r="D10" s="152" t="s">
        <v>274</v>
      </c>
      <c r="E10" s="152" t="s">
        <v>275</v>
      </c>
      <c r="F10" s="189" t="s">
        <v>287</v>
      </c>
      <c r="G10" s="166">
        <v>0.15</v>
      </c>
      <c r="H10" s="153">
        <f t="shared" si="3"/>
        <v>1050000</v>
      </c>
      <c r="I10" s="153">
        <f t="shared" si="9"/>
        <v>375000.00300000003</v>
      </c>
      <c r="J10" s="153">
        <f t="shared" si="4"/>
        <v>359999.99700000003</v>
      </c>
      <c r="K10" s="153">
        <f t="shared" si="0"/>
        <v>315000</v>
      </c>
      <c r="L10" s="164">
        <f>L12*G10</f>
        <v>2100000</v>
      </c>
      <c r="M10" s="193">
        <f t="shared" si="1"/>
        <v>0</v>
      </c>
      <c r="N10" s="191">
        <f>$M$10*H10</f>
        <v>0</v>
      </c>
      <c r="O10" s="156">
        <f t="shared" ref="O10:Q10" si="13">$M$10*I10</f>
        <v>0</v>
      </c>
      <c r="P10" s="156">
        <f t="shared" si="13"/>
        <v>0</v>
      </c>
      <c r="Q10" s="156">
        <f t="shared" si="13"/>
        <v>0</v>
      </c>
      <c r="R10" s="157">
        <f t="shared" si="6"/>
        <v>0</v>
      </c>
      <c r="S10" s="196">
        <v>0.15</v>
      </c>
      <c r="T10" s="194">
        <f t="shared" si="11"/>
        <v>315000</v>
      </c>
      <c r="U10" s="161">
        <f t="shared" si="7"/>
        <v>105000</v>
      </c>
      <c r="V10" s="162">
        <f>V12*S10</f>
        <v>420000</v>
      </c>
      <c r="W10" s="224">
        <f t="shared" si="2"/>
        <v>0</v>
      </c>
      <c r="X10" s="222">
        <f>$W$10*T10</f>
        <v>0</v>
      </c>
      <c r="Y10" s="206">
        <f>$W$10*U10</f>
        <v>0</v>
      </c>
      <c r="Z10" s="210">
        <f t="shared" si="8"/>
        <v>0</v>
      </c>
      <c r="AA10" s="174">
        <f>IF(payesh!E151=$F$10,1,IF(payesh!E151="کسر شد",-1,0))</f>
        <v>0</v>
      </c>
      <c r="AB10" s="175">
        <f>IF(payesh!F151=$F$10,1,IF(payesh!F151="کسر شد",-1,0))</f>
        <v>0</v>
      </c>
      <c r="AC10" s="175">
        <f>IF(payesh!G151=$F$10,1,IF(payesh!G151="کسر شد",-1,0))</f>
        <v>0</v>
      </c>
      <c r="AD10" s="175">
        <f>IF(payesh!H151=$F$10,1,IF(payesh!H151="کسر شد",-1,0))</f>
        <v>0</v>
      </c>
      <c r="AE10" s="175">
        <f>IF(payesh!I151=$F$10,1,IF(payesh!I151="کسر شد",-1,0))</f>
        <v>0</v>
      </c>
      <c r="AF10" s="175">
        <f>IF(payesh!J151=$F$10,1,IF(payesh!J151="کسر شد",-1,0))</f>
        <v>0</v>
      </c>
      <c r="AG10" s="175">
        <f>IF(payesh!K151=$F$10,1,IF(payesh!K151="کسر شد",-1,0))</f>
        <v>0</v>
      </c>
      <c r="AH10" s="175">
        <f>IF(payesh!L151=$F$10,1,IF(payesh!L151="کسر شد",-1,0))</f>
        <v>0</v>
      </c>
      <c r="AI10" s="175">
        <f>IF(payesh!M151=$F$10,1,IF(payesh!M151="کسر شد",-1,0))</f>
        <v>0</v>
      </c>
      <c r="AJ10" s="175">
        <f>IF(payesh!N151=$F$10,1,IF(payesh!N151="کسر شد",-1,0))</f>
        <v>0</v>
      </c>
      <c r="AK10" s="175">
        <f>IF(payesh!O151=$F$10,1,IF(payesh!O151="کسر شد",-1,0))</f>
        <v>0</v>
      </c>
      <c r="AL10" s="175">
        <f>IF(payesh!P151=$F$10,1,IF(payesh!P151="کسر شد",-1,0))</f>
        <v>0</v>
      </c>
      <c r="AM10" s="175">
        <f>IF(payesh!Q151=$F$10,1,IF(payesh!Q151="کسر شد",-1,0))</f>
        <v>0</v>
      </c>
      <c r="AN10" s="175">
        <f>IF(payesh!R151=$F$10,1,IF(payesh!R151="کسر شد",-1,0))</f>
        <v>0</v>
      </c>
      <c r="AO10" s="175">
        <f>IF(payesh!S151=$F$10,1,IF(payesh!S151="کسر شد",-1,0))</f>
        <v>0</v>
      </c>
      <c r="AP10" s="175">
        <f>IF(payesh!T151=$F$10,1,IF(payesh!T151="کسر شد",-1,0))</f>
        <v>0</v>
      </c>
      <c r="AQ10" s="175">
        <f>IF(payesh!U151=$F$10,1,IF(payesh!U151="کسر شد",-1,0))</f>
        <v>0</v>
      </c>
      <c r="AR10" s="175">
        <f>IF(payesh!V151=$F$10,1,IF(payesh!V151="کسر شد",-1,0))</f>
        <v>0</v>
      </c>
      <c r="AS10" s="175">
        <f>IF(payesh!W151=$F$10,1,IF(payesh!W151="کسر شد",-1,0))</f>
        <v>0</v>
      </c>
      <c r="AT10" s="175">
        <f>IF(payesh!X151=$F$10,1,IF(payesh!X151="کسر شد",-1,0))</f>
        <v>0</v>
      </c>
      <c r="AU10" s="175">
        <f>IF(payesh!Y151=$F$10,1,IF(payesh!Y151="کسر شد",-1,0))</f>
        <v>0</v>
      </c>
      <c r="AV10" s="175">
        <f>IF(payesh!Z151=$F$10,1,IF(payesh!Z151="کسر شد",-1,0))</f>
        <v>0</v>
      </c>
      <c r="AW10" s="175">
        <f>IF(payesh!AA151=$F$10,1,IF(payesh!AA151="کسر شد",-1,0))</f>
        <v>0</v>
      </c>
      <c r="AX10" s="175">
        <f>IF(payesh!AB151=$F$10,1,IF(payesh!AB151="کسر شد",-1,0))</f>
        <v>0</v>
      </c>
      <c r="AY10" s="175">
        <f>IF(payesh!AC151=$F$10,1,IF(payesh!AC151="کسر شد",-1,0))</f>
        <v>0</v>
      </c>
      <c r="AZ10" s="175">
        <f>IF(payesh!AD151=$F$10,1,IF(payesh!AD151="کسر شد",-1,0))</f>
        <v>0</v>
      </c>
      <c r="BA10" s="175">
        <f>IF(payesh!AE151=$F$10,1,IF(payesh!AE151="کسر شد",-1,0))</f>
        <v>0</v>
      </c>
      <c r="BB10" s="175">
        <f>IF(payesh!AF151=$F$10,1,IF(payesh!AF151="کسر شد",-1,0))</f>
        <v>0</v>
      </c>
      <c r="BC10" s="175">
        <f>IF(payesh!AG151=$F$10,1,IF(payesh!AG151="کسر شد",-1,0))</f>
        <v>0</v>
      </c>
      <c r="BD10" s="175">
        <f>IF(payesh!AH151=$F$10,1,IF(payesh!AH151="کسر شد",-1,0))</f>
        <v>0</v>
      </c>
      <c r="BE10" s="175">
        <f>IF(payesh!AI151=$F$10,1,IF(payesh!AI151="کسر شد",-1,0))</f>
        <v>0</v>
      </c>
      <c r="BF10" s="175">
        <f>IF(payesh!AJ151=$F$10,1,IF(payesh!AJ151="کسر شد",-1,0))</f>
        <v>0</v>
      </c>
      <c r="BG10" s="175">
        <f>IF(payesh!AK151=$F$10,1,IF(payesh!AK151="کسر شد",-1,0))</f>
        <v>0</v>
      </c>
      <c r="BH10" s="175">
        <f>IF(payesh!AL151=$F$10,1,IF(payesh!AL151="کسر شد",-1,0))</f>
        <v>0</v>
      </c>
      <c r="BI10" s="175">
        <f>IF(payesh!AM151=$F$10,1,IF(payesh!AM151="کسر شد",-1,0))</f>
        <v>0</v>
      </c>
      <c r="BJ10" s="175">
        <f>IF(payesh!AN151=$F$10,1,IF(payesh!AN151="کسر شد",-1,0))</f>
        <v>0</v>
      </c>
      <c r="BK10" s="175">
        <f>IF(payesh!AO151=$F$10,1,IF(payesh!AO151="کسر شد",-1,0))</f>
        <v>0</v>
      </c>
      <c r="BL10" s="175">
        <f>IF(payesh!AP151=$F$10,1,IF(payesh!AP151="کسر شد",-1,0))</f>
        <v>0</v>
      </c>
      <c r="BM10" s="175">
        <f>IF(payesh!AQ151=$F$10,1,IF(payesh!AQ151="کسر شد",-1,0))</f>
        <v>0</v>
      </c>
      <c r="BN10" s="175">
        <f>IF(payesh!AR151=$F$10,1,IF(payesh!AR151="کسر شد",-1,0))</f>
        <v>0</v>
      </c>
    </row>
    <row r="11" spans="3:66" ht="31.5" customHeight="1" thickBot="1" x14ac:dyDescent="0.3">
      <c r="C11" s="154">
        <v>6</v>
      </c>
      <c r="D11" s="155" t="s">
        <v>276</v>
      </c>
      <c r="E11" s="155" t="s">
        <v>277</v>
      </c>
      <c r="F11" s="190" t="s">
        <v>288</v>
      </c>
      <c r="G11" s="167">
        <v>0.05</v>
      </c>
      <c r="H11" s="180">
        <f t="shared" si="3"/>
        <v>350000</v>
      </c>
      <c r="I11" s="180">
        <f t="shared" si="9"/>
        <v>125000.001</v>
      </c>
      <c r="J11" s="180">
        <f t="shared" si="4"/>
        <v>119999.999</v>
      </c>
      <c r="K11" s="180">
        <f t="shared" si="0"/>
        <v>105000</v>
      </c>
      <c r="L11" s="181">
        <f>L12*G11</f>
        <v>700000</v>
      </c>
      <c r="M11" s="193">
        <f t="shared" si="1"/>
        <v>0</v>
      </c>
      <c r="N11" s="191">
        <f>$M$11*H11</f>
        <v>0</v>
      </c>
      <c r="O11" s="156">
        <f t="shared" ref="O11:Q11" si="14">$M$11*I11</f>
        <v>0</v>
      </c>
      <c r="P11" s="156">
        <f t="shared" si="14"/>
        <v>0</v>
      </c>
      <c r="Q11" s="156">
        <f t="shared" si="14"/>
        <v>0</v>
      </c>
      <c r="R11" s="157">
        <f t="shared" si="6"/>
        <v>0</v>
      </c>
      <c r="S11" s="197">
        <v>0.05</v>
      </c>
      <c r="T11" s="194">
        <f t="shared" si="11"/>
        <v>105000</v>
      </c>
      <c r="U11" s="161">
        <f t="shared" si="7"/>
        <v>35000</v>
      </c>
      <c r="V11" s="162">
        <f>V12*S11</f>
        <v>140000</v>
      </c>
      <c r="W11" s="225">
        <f t="shared" si="2"/>
        <v>0</v>
      </c>
      <c r="X11" s="223">
        <f>$W$11*T11</f>
        <v>0</v>
      </c>
      <c r="Y11" s="208">
        <f>$W$11*U11</f>
        <v>0</v>
      </c>
      <c r="Z11" s="211">
        <f t="shared" si="8"/>
        <v>0</v>
      </c>
      <c r="AA11" s="176">
        <f>IF(payesh!E152=$F$11,1,IF(payesh!E152="کسر شد",-1,0))</f>
        <v>0</v>
      </c>
      <c r="AB11" s="177">
        <f>IF(payesh!F152=$F$11,1,IF(payesh!F152="کسر شد",-1,0))</f>
        <v>0</v>
      </c>
      <c r="AC11" s="177">
        <f>IF(payesh!G152=$F$11,1,IF(payesh!G152="کسر شد",-1,0))</f>
        <v>0</v>
      </c>
      <c r="AD11" s="177">
        <f>IF(payesh!H152=$F$11,1,IF(payesh!H152="کسر شد",-1,0))</f>
        <v>0</v>
      </c>
      <c r="AE11" s="177">
        <f>IF(payesh!I152=$F$11,1,IF(payesh!I152="کسر شد",-1,0))</f>
        <v>0</v>
      </c>
      <c r="AF11" s="177">
        <f>IF(payesh!J152=$F$11,1,IF(payesh!J152="کسر شد",-1,0))</f>
        <v>0</v>
      </c>
      <c r="AG11" s="177">
        <f>IF(payesh!K152=$F$11,1,IF(payesh!K152="کسر شد",-1,0))</f>
        <v>0</v>
      </c>
      <c r="AH11" s="177">
        <f>IF(payesh!L152=$F$11,1,IF(payesh!L152="کسر شد",-1,0))</f>
        <v>0</v>
      </c>
      <c r="AI11" s="177">
        <f>IF(payesh!M152=$F$11,1,IF(payesh!M152="کسر شد",-1,0))</f>
        <v>0</v>
      </c>
      <c r="AJ11" s="177">
        <f>IF(payesh!N152=$F$11,1,IF(payesh!N152="کسر شد",-1,0))</f>
        <v>0</v>
      </c>
      <c r="AK11" s="177">
        <f>IF(payesh!O152=$F$11,1,IF(payesh!O152="کسر شد",-1,0))</f>
        <v>0</v>
      </c>
      <c r="AL11" s="177">
        <f>IF(payesh!P152=$F$11,1,IF(payesh!P152="کسر شد",-1,0))</f>
        <v>0</v>
      </c>
      <c r="AM11" s="177">
        <f>IF(payesh!Q152=$F$11,1,IF(payesh!Q152="کسر شد",-1,0))</f>
        <v>0</v>
      </c>
      <c r="AN11" s="177">
        <f>IF(payesh!R152=$F$11,1,IF(payesh!R152="کسر شد",-1,0))</f>
        <v>0</v>
      </c>
      <c r="AO11" s="177">
        <f>IF(payesh!S152=$F$11,1,IF(payesh!S152="کسر شد",-1,0))</f>
        <v>0</v>
      </c>
      <c r="AP11" s="177">
        <f>IF(payesh!T152=$F$11,1,IF(payesh!T152="کسر شد",-1,0))</f>
        <v>0</v>
      </c>
      <c r="AQ11" s="177">
        <f>IF(payesh!U152=$F$11,1,IF(payesh!U152="کسر شد",-1,0))</f>
        <v>0</v>
      </c>
      <c r="AR11" s="177">
        <f>IF(payesh!V152=$F$11,1,IF(payesh!V152="کسر شد",-1,0))</f>
        <v>0</v>
      </c>
      <c r="AS11" s="177">
        <f>IF(payesh!W152=$F$11,1,IF(payesh!W152="کسر شد",-1,0))</f>
        <v>0</v>
      </c>
      <c r="AT11" s="177">
        <f>IF(payesh!X152=$F$11,1,IF(payesh!X152="کسر شد",-1,0))</f>
        <v>0</v>
      </c>
      <c r="AU11" s="177">
        <f>IF(payesh!Y152=$F$11,1,IF(payesh!Y152="کسر شد",-1,0))</f>
        <v>0</v>
      </c>
      <c r="AV11" s="177">
        <f>IF(payesh!Z152=$F$11,1,IF(payesh!Z152="کسر شد",-1,0))</f>
        <v>0</v>
      </c>
      <c r="AW11" s="177">
        <f>IF(payesh!AA152=$F$11,1,IF(payesh!AA152="کسر شد",-1,0))</f>
        <v>0</v>
      </c>
      <c r="AX11" s="177">
        <f>IF(payesh!AB152=$F$11,1,IF(payesh!AB152="کسر شد",-1,0))</f>
        <v>0</v>
      </c>
      <c r="AY11" s="177">
        <f>IF(payesh!AC152=$F$11,1,IF(payesh!AC152="کسر شد",-1,0))</f>
        <v>0</v>
      </c>
      <c r="AZ11" s="177">
        <f>IF(payesh!AD152=$F$11,1,IF(payesh!AD152="کسر شد",-1,0))</f>
        <v>0</v>
      </c>
      <c r="BA11" s="177">
        <f>IF(payesh!AE152=$F$11,1,IF(payesh!AE152="کسر شد",-1,0))</f>
        <v>0</v>
      </c>
      <c r="BB11" s="177">
        <f>IF(payesh!AF152=$F$11,1,IF(payesh!AF152="کسر شد",-1,0))</f>
        <v>0</v>
      </c>
      <c r="BC11" s="177">
        <f>IF(payesh!AG152=$F$11,1,IF(payesh!AG152="کسر شد",-1,0))</f>
        <v>0</v>
      </c>
      <c r="BD11" s="177">
        <f>IF(payesh!AH152=$F$11,1,IF(payesh!AH152="کسر شد",-1,0))</f>
        <v>0</v>
      </c>
      <c r="BE11" s="177">
        <f>IF(payesh!AI152=$F$11,1,IF(payesh!AI152="کسر شد",-1,0))</f>
        <v>0</v>
      </c>
      <c r="BF11" s="177">
        <f>IF(payesh!AJ152=$F$11,1,IF(payesh!AJ152="کسر شد",-1,0))</f>
        <v>0</v>
      </c>
      <c r="BG11" s="177">
        <f>IF(payesh!AK152=$F$11,1,IF(payesh!AK152="کسر شد",-1,0))</f>
        <v>0</v>
      </c>
      <c r="BH11" s="177">
        <f>IF(payesh!AL152=$F$11,1,IF(payesh!AL152="کسر شد",-1,0))</f>
        <v>0</v>
      </c>
      <c r="BI11" s="177">
        <f>IF(payesh!AM152=$F$11,1,IF(payesh!AM152="کسر شد",-1,0))</f>
        <v>0</v>
      </c>
      <c r="BJ11" s="177">
        <f>IF(payesh!AN152=$F$11,1,IF(payesh!AN152="کسر شد",-1,0))</f>
        <v>0</v>
      </c>
      <c r="BK11" s="177">
        <f>IF(payesh!AO152=$F$11,1,IF(payesh!AO152="کسر شد",-1,0))</f>
        <v>0</v>
      </c>
      <c r="BL11" s="177">
        <f>IF(payesh!AP152=$F$11,1,IF(payesh!AP152="کسر شد",-1,0))</f>
        <v>0</v>
      </c>
      <c r="BM11" s="177">
        <f>IF(payesh!AQ152=$F$11,1,IF(payesh!AQ152="کسر شد",-1,0))</f>
        <v>0</v>
      </c>
      <c r="BN11" s="177">
        <f>IF(payesh!AR152=$F$11,1,IF(payesh!AR152="کسر شد",-1,0))</f>
        <v>0</v>
      </c>
    </row>
    <row r="12" spans="3:66" ht="19.5" thickBot="1" x14ac:dyDescent="0.3">
      <c r="C12" s="651" t="s">
        <v>90</v>
      </c>
      <c r="D12" s="652"/>
      <c r="E12" s="652"/>
      <c r="F12" s="653"/>
      <c r="G12" s="184">
        <f t="shared" ref="G12:K12" si="15">SUM(G6:G11)</f>
        <v>1</v>
      </c>
      <c r="H12" s="182">
        <f>SUM(H6:H11)</f>
        <v>7000000</v>
      </c>
      <c r="I12" s="182">
        <f t="shared" si="15"/>
        <v>2500000.0200000005</v>
      </c>
      <c r="J12" s="182">
        <f t="shared" si="15"/>
        <v>2399999.98</v>
      </c>
      <c r="K12" s="182">
        <f t="shared" si="15"/>
        <v>2100000</v>
      </c>
      <c r="L12" s="183">
        <v>14000000</v>
      </c>
      <c r="M12" s="178">
        <f>SUM(M6:M11)</f>
        <v>0</v>
      </c>
      <c r="N12" s="158">
        <f>SUM(N6:N11)</f>
        <v>0</v>
      </c>
      <c r="O12" s="158">
        <f t="shared" ref="O12:Q12" si="16">SUM(O6:O11)</f>
        <v>0</v>
      </c>
      <c r="P12" s="158">
        <f t="shared" si="16"/>
        <v>0</v>
      </c>
      <c r="Q12" s="158">
        <f t="shared" si="16"/>
        <v>0</v>
      </c>
      <c r="R12" s="179">
        <f>SUM(R6:R11)</f>
        <v>0</v>
      </c>
      <c r="S12" s="184">
        <f t="shared" ref="S12:Z12" si="17">SUM(S6:S11)</f>
        <v>1</v>
      </c>
      <c r="T12" s="185">
        <f t="shared" si="17"/>
        <v>2100000</v>
      </c>
      <c r="U12" s="185">
        <f t="shared" si="17"/>
        <v>700000</v>
      </c>
      <c r="V12" s="186">
        <v>2800000</v>
      </c>
      <c r="W12" s="203">
        <f>SUM(W6:W11)</f>
        <v>0</v>
      </c>
      <c r="X12" s="204">
        <f t="shared" si="17"/>
        <v>0</v>
      </c>
      <c r="Y12" s="204">
        <f t="shared" si="17"/>
        <v>0</v>
      </c>
      <c r="Z12" s="205">
        <f t="shared" si="17"/>
        <v>0</v>
      </c>
    </row>
    <row r="13" spans="3:66" x14ac:dyDescent="0.25">
      <c r="L13" s="147"/>
      <c r="V13" s="147"/>
    </row>
    <row r="15" spans="3:66" x14ac:dyDescent="0.25">
      <c r="L15" s="147"/>
    </row>
    <row r="16" spans="3:66" x14ac:dyDescent="0.25">
      <c r="L16" s="147"/>
      <c r="O16" s="147"/>
    </row>
    <row r="17" spans="12:15" x14ac:dyDescent="0.25">
      <c r="L17" s="147"/>
      <c r="O17" s="147"/>
    </row>
    <row r="18" spans="12:15" x14ac:dyDescent="0.25">
      <c r="L18" s="147"/>
      <c r="O18" s="147"/>
    </row>
    <row r="19" spans="12:15" x14ac:dyDescent="0.25">
      <c r="L19" s="147"/>
    </row>
    <row r="20" spans="12:15" x14ac:dyDescent="0.25">
      <c r="L20" s="147"/>
    </row>
  </sheetData>
  <sheetProtection algorithmName="SHA-512" hashValue="w23oaU3QBIoTbKMOWK+SwCdxRAbaOUfOze114o3Q6l2pYtPwsFMmHdK2+PcugzVIgzO/89A1yBmpM9Z18v278w==" saltValue="wuXehVoASE4HgKZgDXJ31A=="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16"/>
  <sheetViews>
    <sheetView rightToLeft="1" topLeftCell="D1" workbookViewId="0">
      <selection activeCell="AD7" sqref="AD7"/>
    </sheetView>
  </sheetViews>
  <sheetFormatPr defaultColWidth="9.140625" defaultRowHeight="17.25" x14ac:dyDescent="0.4"/>
  <cols>
    <col min="1" max="1" width="1.28515625" style="430" customWidth="1"/>
    <col min="2" max="2" width="2.42578125" style="430" customWidth="1"/>
    <col min="3" max="3" width="15.140625" style="458" customWidth="1"/>
    <col min="4" max="12" width="2.28515625" style="75" customWidth="1"/>
    <col min="13" max="16" width="2.7109375" style="75" customWidth="1"/>
    <col min="17" max="17" width="2.85546875" style="75" customWidth="1"/>
    <col min="18" max="18" width="2.5703125" style="75" customWidth="1"/>
    <col min="19" max="19" width="2.85546875" style="75" customWidth="1"/>
    <col min="20" max="20" width="3.140625" style="75" customWidth="1"/>
    <col min="21" max="21" width="2.85546875" style="75" customWidth="1"/>
    <col min="22" max="27" width="2.7109375" style="75" customWidth="1"/>
    <col min="28" max="28" width="2.5703125" style="75" customWidth="1"/>
    <col min="29" max="29" width="2.7109375" style="75" customWidth="1"/>
    <col min="30" max="31" width="2.85546875" style="75" customWidth="1"/>
    <col min="32" max="32" width="2.7109375" style="75" customWidth="1"/>
    <col min="33" max="34" width="2.5703125" style="75" customWidth="1"/>
    <col min="35" max="39" width="2.85546875" style="75" customWidth="1"/>
    <col min="40" max="41" width="2.7109375" style="75" customWidth="1"/>
    <col min="42" max="42" width="2.85546875" style="75" customWidth="1"/>
    <col min="43" max="43" width="2.7109375" style="75" customWidth="1"/>
    <col min="44" max="44" width="3.42578125" style="430" customWidth="1"/>
    <col min="45" max="45" width="11" style="430" customWidth="1"/>
    <col min="46" max="46" width="11.140625" style="430" customWidth="1"/>
    <col min="47" max="47" width="11.42578125" style="430" customWidth="1"/>
    <col min="48" max="48" width="11.85546875" style="430" customWidth="1"/>
    <col min="49" max="49" width="13.140625" style="459" customWidth="1"/>
    <col min="50" max="50" width="8.28515625" style="430" customWidth="1"/>
    <col min="51" max="51" width="10.140625" style="430" customWidth="1"/>
    <col min="52" max="53" width="12.42578125" style="430" customWidth="1"/>
    <col min="54" max="16384" width="9.140625" style="430"/>
  </cols>
  <sheetData>
    <row r="1" spans="2:53" ht="18" thickBot="1" x14ac:dyDescent="0.45">
      <c r="B1" s="425"/>
      <c r="C1" s="426"/>
      <c r="D1" s="427"/>
      <c r="E1" s="427"/>
      <c r="F1" s="427"/>
      <c r="G1" s="427"/>
      <c r="H1" s="427"/>
      <c r="I1" s="427"/>
      <c r="J1" s="427"/>
      <c r="K1" s="427"/>
      <c r="L1" s="427"/>
      <c r="M1" s="427"/>
      <c r="N1" s="427"/>
      <c r="O1" s="427"/>
      <c r="P1" s="427"/>
      <c r="Q1" s="427"/>
      <c r="R1" s="427"/>
      <c r="S1" s="427"/>
      <c r="T1" s="428"/>
      <c r="U1" s="428"/>
      <c r="V1" s="428"/>
      <c r="W1" s="428"/>
      <c r="X1" s="427"/>
      <c r="Y1" s="427"/>
      <c r="Z1" s="427"/>
      <c r="AA1" s="427"/>
      <c r="AB1" s="427"/>
      <c r="AC1" s="427"/>
      <c r="AD1" s="428"/>
      <c r="AE1" s="428"/>
      <c r="AF1" s="428"/>
      <c r="AG1" s="428"/>
      <c r="AH1" s="428"/>
      <c r="AI1" s="428"/>
      <c r="AJ1" s="428"/>
      <c r="AK1" s="428"/>
      <c r="AL1" s="428"/>
      <c r="AM1" s="428"/>
      <c r="AN1" s="428"/>
      <c r="AO1" s="428"/>
      <c r="AP1" s="428"/>
      <c r="AQ1" s="428"/>
      <c r="AR1" s="425"/>
      <c r="AS1" s="425"/>
      <c r="AT1" s="425"/>
      <c r="AU1" s="425"/>
      <c r="AV1" s="425"/>
      <c r="AW1" s="429"/>
    </row>
    <row r="2" spans="2:53" ht="21" thickBot="1" x14ac:dyDescent="0.55000000000000004">
      <c r="B2" s="681" t="s">
        <v>435</v>
      </c>
      <c r="C2" s="682"/>
      <c r="D2" s="683"/>
      <c r="E2" s="683"/>
      <c r="F2" s="683"/>
      <c r="G2" s="683"/>
      <c r="H2" s="683"/>
      <c r="I2" s="683"/>
      <c r="J2" s="683"/>
      <c r="K2" s="683"/>
      <c r="L2" s="683"/>
      <c r="M2" s="683"/>
      <c r="N2" s="683"/>
      <c r="O2" s="683"/>
      <c r="P2" s="683"/>
      <c r="Q2" s="683"/>
      <c r="R2" s="683"/>
      <c r="S2" s="683"/>
      <c r="T2" s="683"/>
      <c r="U2" s="683"/>
      <c r="V2" s="683"/>
      <c r="W2" s="683"/>
      <c r="X2" s="683"/>
      <c r="Y2" s="683"/>
      <c r="Z2" s="683"/>
      <c r="AA2" s="683"/>
      <c r="AB2" s="683"/>
      <c r="AC2" s="683"/>
      <c r="AD2" s="683"/>
      <c r="AE2" s="683"/>
      <c r="AF2" s="683"/>
      <c r="AG2" s="683"/>
      <c r="AH2" s="683"/>
      <c r="AI2" s="683"/>
      <c r="AJ2" s="683"/>
      <c r="AK2" s="683"/>
      <c r="AL2" s="683"/>
      <c r="AM2" s="683"/>
      <c r="AN2" s="683"/>
      <c r="AO2" s="683"/>
      <c r="AP2" s="683"/>
      <c r="AQ2" s="683"/>
      <c r="AR2" s="682"/>
      <c r="AS2" s="682"/>
      <c r="AT2" s="682"/>
      <c r="AU2" s="682"/>
      <c r="AV2" s="682"/>
      <c r="AW2" s="684"/>
    </row>
    <row r="3" spans="2:53" ht="19.5" thickBot="1" x14ac:dyDescent="0.45">
      <c r="B3" s="685" t="s">
        <v>257</v>
      </c>
      <c r="C3" s="688" t="s">
        <v>258</v>
      </c>
      <c r="D3" s="431">
        <f>payesh!E7</f>
        <v>1</v>
      </c>
      <c r="E3" s="432">
        <f>payesh!F7</f>
        <v>2</v>
      </c>
      <c r="F3" s="432">
        <f>payesh!G7</f>
        <v>3</v>
      </c>
      <c r="G3" s="432">
        <f>payesh!H7</f>
        <v>4</v>
      </c>
      <c r="H3" s="432">
        <f>payesh!I7</f>
        <v>5</v>
      </c>
      <c r="I3" s="432">
        <f>payesh!J7</f>
        <v>6</v>
      </c>
      <c r="J3" s="432">
        <f>payesh!K7</f>
        <v>7</v>
      </c>
      <c r="K3" s="432">
        <f>payesh!L7</f>
        <v>8</v>
      </c>
      <c r="L3" s="432">
        <f>payesh!M7</f>
        <v>9</v>
      </c>
      <c r="M3" s="432">
        <f>payesh!N7</f>
        <v>10</v>
      </c>
      <c r="N3" s="432">
        <f>payesh!O7</f>
        <v>11</v>
      </c>
      <c r="O3" s="432">
        <f>payesh!P7</f>
        <v>12</v>
      </c>
      <c r="P3" s="432">
        <f>payesh!Q7</f>
        <v>13</v>
      </c>
      <c r="Q3" s="432">
        <f>payesh!R7</f>
        <v>14</v>
      </c>
      <c r="R3" s="432">
        <f>payesh!S7</f>
        <v>15</v>
      </c>
      <c r="S3" s="432">
        <f>payesh!T7</f>
        <v>16</v>
      </c>
      <c r="T3" s="432">
        <f>payesh!U7</f>
        <v>17</v>
      </c>
      <c r="U3" s="432">
        <f>payesh!V7</f>
        <v>18</v>
      </c>
      <c r="V3" s="432">
        <f>payesh!W7</f>
        <v>19</v>
      </c>
      <c r="W3" s="432">
        <f>payesh!X7</f>
        <v>20</v>
      </c>
      <c r="X3" s="432">
        <f>payesh!Y7</f>
        <v>21</v>
      </c>
      <c r="Y3" s="432">
        <f>payesh!Z7</f>
        <v>22</v>
      </c>
      <c r="Z3" s="432">
        <f>payesh!AA7</f>
        <v>23</v>
      </c>
      <c r="AA3" s="432">
        <f>payesh!AB7</f>
        <v>24</v>
      </c>
      <c r="AB3" s="432">
        <f>payesh!AC7</f>
        <v>25</v>
      </c>
      <c r="AC3" s="432">
        <f>payesh!AD7</f>
        <v>26</v>
      </c>
      <c r="AD3" s="432">
        <f>payesh!AE7</f>
        <v>27</v>
      </c>
      <c r="AE3" s="432">
        <f>payesh!AF7</f>
        <v>28</v>
      </c>
      <c r="AF3" s="432">
        <f>payesh!AG7</f>
        <v>29</v>
      </c>
      <c r="AG3" s="432">
        <f>payesh!AH7</f>
        <v>30</v>
      </c>
      <c r="AH3" s="432">
        <f>payesh!AI7</f>
        <v>31</v>
      </c>
      <c r="AI3" s="432">
        <f>payesh!AJ7</f>
        <v>32</v>
      </c>
      <c r="AJ3" s="432">
        <f>payesh!AK7</f>
        <v>33</v>
      </c>
      <c r="AK3" s="432">
        <f>payesh!AL7</f>
        <v>34</v>
      </c>
      <c r="AL3" s="432">
        <f>payesh!AM7</f>
        <v>35</v>
      </c>
      <c r="AM3" s="432">
        <f>payesh!AN7</f>
        <v>36</v>
      </c>
      <c r="AN3" s="432">
        <f>payesh!AO7</f>
        <v>37</v>
      </c>
      <c r="AO3" s="432">
        <f>payesh!AP7</f>
        <v>38</v>
      </c>
      <c r="AP3" s="432">
        <f>payesh!AQ7</f>
        <v>39</v>
      </c>
      <c r="AQ3" s="432">
        <f>payesh!AR7</f>
        <v>40</v>
      </c>
      <c r="AR3" s="691" t="s">
        <v>434</v>
      </c>
      <c r="AS3" s="691"/>
      <c r="AT3" s="691"/>
      <c r="AU3" s="691"/>
      <c r="AV3" s="691"/>
      <c r="AW3" s="692"/>
      <c r="AX3" s="695" t="str">
        <f>AR3</f>
        <v>گزارش پیشرفت مالی تا پایان ……….. ماه ……….- (مبالغ به ریال)</v>
      </c>
      <c r="AY3" s="696"/>
      <c r="AZ3" s="696"/>
      <c r="BA3" s="697"/>
    </row>
    <row r="4" spans="2:53" ht="36" x14ac:dyDescent="0.4">
      <c r="B4" s="686"/>
      <c r="C4" s="689"/>
      <c r="D4" s="482" t="str">
        <f>payesh!E5</f>
        <v>سرابباغ</v>
      </c>
      <c r="E4" s="483" t="str">
        <f>payesh!F5</f>
        <v>سرابباغ</v>
      </c>
      <c r="F4" s="483" t="str">
        <f>payesh!G5</f>
        <v>سرابباغ</v>
      </c>
      <c r="G4" s="483" t="str">
        <f>payesh!H5</f>
        <v>ژیور</v>
      </c>
      <c r="H4" s="483" t="str">
        <f>payesh!I5</f>
        <v>چم کبود</v>
      </c>
      <c r="I4" s="483" t="str">
        <f>payesh!J5</f>
        <v>بانکت</v>
      </c>
      <c r="J4" s="483" t="str">
        <f>payesh!K5</f>
        <v>هفت چشمه</v>
      </c>
      <c r="K4" s="483" t="str">
        <f>payesh!L5</f>
        <v>چم کبود</v>
      </c>
      <c r="L4" s="483" t="str">
        <f>payesh!M5</f>
        <v>بانکت</v>
      </c>
      <c r="M4" s="483" t="str">
        <f>payesh!N5</f>
        <v>سرابباغ</v>
      </c>
      <c r="N4" s="483" t="str">
        <f>payesh!O5</f>
        <v>ژیور</v>
      </c>
      <c r="O4" s="483" t="str">
        <f>payesh!P5</f>
        <v>چم کبود</v>
      </c>
      <c r="P4" s="483" t="str">
        <f>payesh!Q5</f>
        <v>سرابباغ</v>
      </c>
      <c r="Q4" s="483" t="str">
        <f>payesh!R5</f>
        <v>سرابباغ</v>
      </c>
      <c r="R4" s="483" t="str">
        <f>payesh!S5</f>
        <v>چم کبود</v>
      </c>
      <c r="S4" s="483" t="str">
        <f>payesh!T5</f>
        <v>سرابباغ</v>
      </c>
      <c r="T4" s="483" t="str">
        <f>payesh!U5</f>
        <v>پشت قلعه</v>
      </c>
      <c r="U4" s="483" t="str">
        <f>payesh!V5</f>
        <v>پشت قلعه</v>
      </c>
      <c r="V4" s="483" t="str">
        <f>payesh!W5</f>
        <v>پشت قلعه</v>
      </c>
      <c r="W4" s="483" t="str">
        <f>payesh!X5</f>
        <v>پشت قلعه</v>
      </c>
      <c r="X4" s="483">
        <f>payesh!Y5</f>
        <v>0</v>
      </c>
      <c r="Y4" s="483">
        <f>payesh!Z5</f>
        <v>0</v>
      </c>
      <c r="Z4" s="483">
        <f>payesh!AA5</f>
        <v>0</v>
      </c>
      <c r="AA4" s="483">
        <f>payesh!AB5</f>
        <v>0</v>
      </c>
      <c r="AB4" s="483">
        <f>payesh!AC5</f>
        <v>0</v>
      </c>
      <c r="AC4" s="483">
        <f>payesh!AD5</f>
        <v>0</v>
      </c>
      <c r="AD4" s="483">
        <f>payesh!AE5</f>
        <v>0</v>
      </c>
      <c r="AE4" s="483">
        <f>payesh!AF5</f>
        <v>0</v>
      </c>
      <c r="AF4" s="483">
        <f>payesh!AG5</f>
        <v>0</v>
      </c>
      <c r="AG4" s="483">
        <f>payesh!AH5</f>
        <v>0</v>
      </c>
      <c r="AH4" s="483">
        <f>payesh!AI5</f>
        <v>0</v>
      </c>
      <c r="AI4" s="483">
        <f>payesh!AJ5</f>
        <v>0</v>
      </c>
      <c r="AJ4" s="483">
        <f>payesh!AK5</f>
        <v>0</v>
      </c>
      <c r="AK4" s="483">
        <f>payesh!AL5</f>
        <v>0</v>
      </c>
      <c r="AL4" s="483">
        <f>payesh!AM5</f>
        <v>0</v>
      </c>
      <c r="AM4" s="483">
        <f>payesh!AN5</f>
        <v>0</v>
      </c>
      <c r="AN4" s="483">
        <f>payesh!AO5</f>
        <v>0</v>
      </c>
      <c r="AO4" s="483">
        <f>payesh!AP5</f>
        <v>0</v>
      </c>
      <c r="AP4" s="483">
        <f>payesh!AQ5</f>
        <v>0</v>
      </c>
      <c r="AQ4" s="483">
        <f>payesh!AR5</f>
        <v>0</v>
      </c>
      <c r="AR4" s="698" t="s">
        <v>427</v>
      </c>
      <c r="AS4" s="693" t="s">
        <v>261</v>
      </c>
      <c r="AT4" s="693" t="s">
        <v>262</v>
      </c>
      <c r="AU4" s="693" t="s">
        <v>263</v>
      </c>
      <c r="AV4" s="693" t="s">
        <v>264</v>
      </c>
      <c r="AW4" s="693" t="s">
        <v>428</v>
      </c>
      <c r="AX4" s="700" t="s">
        <v>90</v>
      </c>
      <c r="AY4" s="702" t="s">
        <v>279</v>
      </c>
      <c r="AZ4" s="702" t="s">
        <v>280</v>
      </c>
      <c r="BA4" s="704" t="s">
        <v>265</v>
      </c>
    </row>
    <row r="5" spans="2:53" ht="34.5" customHeight="1" thickBot="1" x14ac:dyDescent="0.45">
      <c r="B5" s="687"/>
      <c r="C5" s="690"/>
      <c r="D5" s="484" t="str">
        <f>payesh!E6</f>
        <v>پوپک</v>
      </c>
      <c r="E5" s="485" t="str">
        <f>payesh!F6</f>
        <v>شیرین بانو</v>
      </c>
      <c r="F5" s="485" t="str">
        <f>payesh!G6</f>
        <v>نرگس</v>
      </c>
      <c r="G5" s="485" t="str">
        <f>payesh!H6</f>
        <v>ارکیده</v>
      </c>
      <c r="H5" s="485" t="str">
        <f>payesh!I6</f>
        <v>هانا</v>
      </c>
      <c r="I5" s="485" t="str">
        <f>payesh!J6</f>
        <v>شاپرک</v>
      </c>
      <c r="J5" s="485" t="str">
        <f>payesh!K6</f>
        <v>بهار</v>
      </c>
      <c r="K5" s="485" t="str">
        <f>payesh!L6</f>
        <v>شفق</v>
      </c>
      <c r="L5" s="485" t="str">
        <f>payesh!M6</f>
        <v>گلبرگ</v>
      </c>
      <c r="M5" s="485" t="str">
        <f>payesh!N6</f>
        <v>ستایش</v>
      </c>
      <c r="N5" s="485" t="str">
        <f>payesh!O6</f>
        <v>پونه</v>
      </c>
      <c r="O5" s="485" t="str">
        <f>payesh!P6</f>
        <v>نگین</v>
      </c>
      <c r="P5" s="485" t="str">
        <f>payesh!Q6</f>
        <v>باران</v>
      </c>
      <c r="Q5" s="485" t="str">
        <f>payesh!R6</f>
        <v>گل مریم</v>
      </c>
      <c r="R5" s="485" t="str">
        <f>payesh!S6</f>
        <v>آوا</v>
      </c>
      <c r="S5" s="485" t="str">
        <f>payesh!T6</f>
        <v>افتاب</v>
      </c>
      <c r="T5" s="485" t="str">
        <f>payesh!U6</f>
        <v>دریا</v>
      </c>
      <c r="U5" s="485" t="str">
        <f>payesh!V6</f>
        <v>شکوفه</v>
      </c>
      <c r="V5" s="485" t="str">
        <f>payesh!W6</f>
        <v>افق</v>
      </c>
      <c r="W5" s="485" t="str">
        <f>payesh!X6</f>
        <v>مهتاب</v>
      </c>
      <c r="X5" s="485">
        <f>payesh!Y6</f>
        <v>0</v>
      </c>
      <c r="Y5" s="485">
        <f>payesh!Z6</f>
        <v>0</v>
      </c>
      <c r="Z5" s="485">
        <f>payesh!AA6</f>
        <v>0</v>
      </c>
      <c r="AA5" s="485">
        <f>payesh!AB6</f>
        <v>0</v>
      </c>
      <c r="AB5" s="485">
        <f>payesh!AC6</f>
        <v>0</v>
      </c>
      <c r="AC5" s="485">
        <f>payesh!AD6</f>
        <v>0</v>
      </c>
      <c r="AD5" s="485">
        <f>payesh!AE6</f>
        <v>0</v>
      </c>
      <c r="AE5" s="485">
        <f>payesh!AF6</f>
        <v>0</v>
      </c>
      <c r="AF5" s="485">
        <f>payesh!AG6</f>
        <v>0</v>
      </c>
      <c r="AG5" s="485">
        <f>payesh!AH6</f>
        <v>0</v>
      </c>
      <c r="AH5" s="485">
        <f>payesh!AI6</f>
        <v>0</v>
      </c>
      <c r="AI5" s="485">
        <f>payesh!AJ6</f>
        <v>0</v>
      </c>
      <c r="AJ5" s="485">
        <f>payesh!AK6</f>
        <v>0</v>
      </c>
      <c r="AK5" s="485">
        <f>payesh!AL6</f>
        <v>0</v>
      </c>
      <c r="AL5" s="485">
        <f>payesh!AM6</f>
        <v>0</v>
      </c>
      <c r="AM5" s="485">
        <f>payesh!AN6</f>
        <v>0</v>
      </c>
      <c r="AN5" s="485">
        <f>payesh!AO6</f>
        <v>0</v>
      </c>
      <c r="AO5" s="485">
        <f>payesh!AP6</f>
        <v>0</v>
      </c>
      <c r="AP5" s="485">
        <f>payesh!AQ6</f>
        <v>0</v>
      </c>
      <c r="AQ5" s="485">
        <f>payesh!AR6</f>
        <v>0</v>
      </c>
      <c r="AR5" s="699"/>
      <c r="AS5" s="694"/>
      <c r="AT5" s="694"/>
      <c r="AU5" s="694"/>
      <c r="AV5" s="694"/>
      <c r="AW5" s="694"/>
      <c r="AX5" s="701"/>
      <c r="AY5" s="703"/>
      <c r="AZ5" s="703"/>
      <c r="BA5" s="705"/>
    </row>
    <row r="6" spans="2:53" ht="42.75" x14ac:dyDescent="0.4">
      <c r="B6" s="433">
        <v>1</v>
      </c>
      <c r="C6" s="434" t="s">
        <v>266</v>
      </c>
      <c r="D6" s="435">
        <f>payesh!E147</f>
        <v>0</v>
      </c>
      <c r="E6" s="436">
        <f>payesh!F147</f>
        <v>0</v>
      </c>
      <c r="F6" s="436">
        <f>payesh!G147</f>
        <v>0</v>
      </c>
      <c r="G6" s="436">
        <f>payesh!H147</f>
        <v>0</v>
      </c>
      <c r="H6" s="436">
        <f>payesh!I147</f>
        <v>0</v>
      </c>
      <c r="I6" s="436">
        <f>payesh!J147</f>
        <v>0</v>
      </c>
      <c r="J6" s="436">
        <f>payesh!K147</f>
        <v>0</v>
      </c>
      <c r="K6" s="436">
        <f>payesh!L147</f>
        <v>0</v>
      </c>
      <c r="L6" s="436">
        <f>payesh!M147</f>
        <v>0</v>
      </c>
      <c r="M6" s="436">
        <f>payesh!N147</f>
        <v>0</v>
      </c>
      <c r="N6" s="436">
        <f>payesh!O147</f>
        <v>0</v>
      </c>
      <c r="O6" s="436">
        <f>payesh!P147</f>
        <v>0</v>
      </c>
      <c r="P6" s="436">
        <f>payesh!Q147</f>
        <v>0</v>
      </c>
      <c r="Q6" s="436">
        <f>payesh!R147</f>
        <v>0</v>
      </c>
      <c r="R6" s="436">
        <f>payesh!S147</f>
        <v>0</v>
      </c>
      <c r="S6" s="436">
        <f>payesh!T147</f>
        <v>0</v>
      </c>
      <c r="T6" s="436">
        <f>payesh!U147</f>
        <v>0</v>
      </c>
      <c r="U6" s="436">
        <f>payesh!V147</f>
        <v>0</v>
      </c>
      <c r="V6" s="436">
        <f>payesh!W147</f>
        <v>0</v>
      </c>
      <c r="W6" s="436">
        <f>payesh!X147</f>
        <v>0</v>
      </c>
      <c r="X6" s="436">
        <f>payesh!Y147</f>
        <v>0</v>
      </c>
      <c r="Y6" s="436">
        <f>payesh!Z147</f>
        <v>0</v>
      </c>
      <c r="Z6" s="436">
        <f>payesh!AA147</f>
        <v>0</v>
      </c>
      <c r="AA6" s="436">
        <f>payesh!AB147</f>
        <v>0</v>
      </c>
      <c r="AB6" s="436">
        <f>payesh!AC147</f>
        <v>0</v>
      </c>
      <c r="AC6" s="436">
        <f>payesh!AD147</f>
        <v>0</v>
      </c>
      <c r="AD6" s="436">
        <f>payesh!AE147</f>
        <v>0</v>
      </c>
      <c r="AE6" s="436">
        <f>payesh!AF147</f>
        <v>0</v>
      </c>
      <c r="AF6" s="436">
        <f>payesh!AG147</f>
        <v>0</v>
      </c>
      <c r="AG6" s="436">
        <f>payesh!AH147</f>
        <v>0</v>
      </c>
      <c r="AH6" s="436">
        <f>payesh!AI147</f>
        <v>0</v>
      </c>
      <c r="AI6" s="436">
        <f>payesh!AJ147</f>
        <v>0</v>
      </c>
      <c r="AJ6" s="436">
        <f>payesh!AK147</f>
        <v>0</v>
      </c>
      <c r="AK6" s="436">
        <f>payesh!AL147</f>
        <v>0</v>
      </c>
      <c r="AL6" s="436">
        <f>payesh!AM147</f>
        <v>0</v>
      </c>
      <c r="AM6" s="436">
        <f>payesh!AN147</f>
        <v>0</v>
      </c>
      <c r="AN6" s="436">
        <f>payesh!AO147</f>
        <v>0</v>
      </c>
      <c r="AO6" s="436">
        <f>payesh!AP147</f>
        <v>0</v>
      </c>
      <c r="AP6" s="436">
        <f>payesh!AQ147</f>
        <v>0</v>
      </c>
      <c r="AQ6" s="436">
        <f>payesh!AR147</f>
        <v>0</v>
      </c>
      <c r="AR6" s="464">
        <f>COUNTIF(D6:AQ6,"ب7")</f>
        <v>0</v>
      </c>
      <c r="AS6" s="437">
        <f>Pardakhti!N6</f>
        <v>0</v>
      </c>
      <c r="AT6" s="438">
        <f>Pardakhti!O6</f>
        <v>0</v>
      </c>
      <c r="AU6" s="438">
        <f>Pardakhti!P6</f>
        <v>0</v>
      </c>
      <c r="AV6" s="462">
        <f>Pardakhti!Q6</f>
        <v>0</v>
      </c>
      <c r="AW6" s="470">
        <f>SUM(AS6:AV6)</f>
        <v>0</v>
      </c>
      <c r="AX6" s="476">
        <f>COUNTIF(J6:AQ6,"ب7")</f>
        <v>0</v>
      </c>
      <c r="AY6" s="439">
        <f>Pardakhti!X6</f>
        <v>0</v>
      </c>
      <c r="AZ6" s="440">
        <f>Pardakhti!Y6</f>
        <v>0</v>
      </c>
      <c r="BA6" s="460">
        <f>SUM(AY6:AZ6)</f>
        <v>0</v>
      </c>
    </row>
    <row r="7" spans="2:53" ht="57" x14ac:dyDescent="0.4">
      <c r="B7" s="441">
        <v>2</v>
      </c>
      <c r="C7" s="442" t="s">
        <v>268</v>
      </c>
      <c r="D7" s="443">
        <f>payesh!E148</f>
        <v>0</v>
      </c>
      <c r="E7" s="444">
        <f>payesh!F148</f>
        <v>0</v>
      </c>
      <c r="F7" s="444">
        <f>payesh!G148</f>
        <v>0</v>
      </c>
      <c r="G7" s="444">
        <f>payesh!H148</f>
        <v>0</v>
      </c>
      <c r="H7" s="444">
        <f>payesh!I148</f>
        <v>0</v>
      </c>
      <c r="I7" s="444">
        <f>payesh!J148</f>
        <v>0</v>
      </c>
      <c r="J7" s="444">
        <f>payesh!K148</f>
        <v>0</v>
      </c>
      <c r="K7" s="444">
        <f>payesh!L148</f>
        <v>0</v>
      </c>
      <c r="L7" s="444">
        <f>payesh!M148</f>
        <v>0</v>
      </c>
      <c r="M7" s="444">
        <f>payesh!N148</f>
        <v>0</v>
      </c>
      <c r="N7" s="444">
        <f>payesh!O148</f>
        <v>0</v>
      </c>
      <c r="O7" s="444">
        <f>payesh!P148</f>
        <v>0</v>
      </c>
      <c r="P7" s="444">
        <f>payesh!Q148</f>
        <v>0</v>
      </c>
      <c r="Q7" s="444">
        <f>payesh!R148</f>
        <v>0</v>
      </c>
      <c r="R7" s="444">
        <f>payesh!S148</f>
        <v>0</v>
      </c>
      <c r="S7" s="444">
        <f>payesh!T148</f>
        <v>0</v>
      </c>
      <c r="T7" s="444">
        <f>payesh!U148</f>
        <v>0</v>
      </c>
      <c r="U7" s="444">
        <f>payesh!V148</f>
        <v>0</v>
      </c>
      <c r="V7" s="444">
        <f>payesh!W148</f>
        <v>0</v>
      </c>
      <c r="W7" s="444">
        <f>payesh!X148</f>
        <v>0</v>
      </c>
      <c r="X7" s="444">
        <f>payesh!Y148</f>
        <v>0</v>
      </c>
      <c r="Y7" s="444">
        <f>payesh!Z148</f>
        <v>0</v>
      </c>
      <c r="Z7" s="444">
        <f>payesh!AA148</f>
        <v>0</v>
      </c>
      <c r="AA7" s="444">
        <f>payesh!AB148</f>
        <v>0</v>
      </c>
      <c r="AB7" s="444">
        <f>payesh!AC148</f>
        <v>0</v>
      </c>
      <c r="AC7" s="444">
        <f>payesh!AD148</f>
        <v>0</v>
      </c>
      <c r="AD7" s="444">
        <f>payesh!AE148</f>
        <v>0</v>
      </c>
      <c r="AE7" s="444">
        <f>payesh!AF148</f>
        <v>0</v>
      </c>
      <c r="AF7" s="444">
        <f>payesh!AG148</f>
        <v>0</v>
      </c>
      <c r="AG7" s="444">
        <f>payesh!AH148</f>
        <v>0</v>
      </c>
      <c r="AH7" s="444">
        <f>payesh!AI148</f>
        <v>0</v>
      </c>
      <c r="AI7" s="444">
        <f>payesh!AJ148</f>
        <v>0</v>
      </c>
      <c r="AJ7" s="444">
        <f>payesh!AK148</f>
        <v>0</v>
      </c>
      <c r="AK7" s="444">
        <f>payesh!AL148</f>
        <v>0</v>
      </c>
      <c r="AL7" s="444">
        <f>payesh!AM148</f>
        <v>0</v>
      </c>
      <c r="AM7" s="444">
        <f>payesh!AN148</f>
        <v>0</v>
      </c>
      <c r="AN7" s="444">
        <f>payesh!AO148</f>
        <v>0</v>
      </c>
      <c r="AO7" s="444">
        <f>payesh!AP148</f>
        <v>0</v>
      </c>
      <c r="AP7" s="444">
        <f>payesh!AQ148</f>
        <v>0</v>
      </c>
      <c r="AQ7" s="444">
        <f>payesh!AR148</f>
        <v>0</v>
      </c>
      <c r="AR7" s="465">
        <f>COUNTIF(D7:AQ7,"پ9")</f>
        <v>0</v>
      </c>
      <c r="AS7" s="445">
        <f>Pardakhti!N7</f>
        <v>0</v>
      </c>
      <c r="AT7" s="446">
        <f>Pardakhti!O7</f>
        <v>0</v>
      </c>
      <c r="AU7" s="446">
        <f>Pardakhti!P7</f>
        <v>0</v>
      </c>
      <c r="AV7" s="463">
        <f>Pardakhti!Q7</f>
        <v>0</v>
      </c>
      <c r="AW7" s="471">
        <f t="shared" ref="AW7:AW11" si="0">SUM(AS7:AV7)</f>
        <v>0</v>
      </c>
      <c r="AX7" s="477">
        <f>COUNTIF(J7:AQ7,"پ9")</f>
        <v>0</v>
      </c>
      <c r="AY7" s="447">
        <f>Pardakhti!X7</f>
        <v>0</v>
      </c>
      <c r="AZ7" s="448">
        <f>Pardakhti!Y7</f>
        <v>0</v>
      </c>
      <c r="BA7" s="461">
        <f t="shared" ref="BA7:BA11" si="1">SUM(AY7:AZ7)</f>
        <v>0</v>
      </c>
    </row>
    <row r="8" spans="2:53" ht="57" x14ac:dyDescent="0.4">
      <c r="B8" s="441">
        <v>3</v>
      </c>
      <c r="C8" s="442" t="s">
        <v>270</v>
      </c>
      <c r="D8" s="443">
        <f>payesh!E149</f>
        <v>0</v>
      </c>
      <c r="E8" s="444">
        <f>payesh!F149</f>
        <v>0</v>
      </c>
      <c r="F8" s="444">
        <f>payesh!G149</f>
        <v>0</v>
      </c>
      <c r="G8" s="444">
        <f>payesh!H149</f>
        <v>0</v>
      </c>
      <c r="H8" s="444">
        <f>payesh!I149</f>
        <v>0</v>
      </c>
      <c r="I8" s="444">
        <f>payesh!J149</f>
        <v>0</v>
      </c>
      <c r="J8" s="444">
        <f>payesh!K149</f>
        <v>0</v>
      </c>
      <c r="K8" s="444">
        <f>payesh!L149</f>
        <v>0</v>
      </c>
      <c r="L8" s="444">
        <f>payesh!M149</f>
        <v>0</v>
      </c>
      <c r="M8" s="444">
        <f>payesh!N149</f>
        <v>0</v>
      </c>
      <c r="N8" s="444">
        <f>payesh!O149</f>
        <v>0</v>
      </c>
      <c r="O8" s="444">
        <f>payesh!P149</f>
        <v>0</v>
      </c>
      <c r="P8" s="444">
        <f>payesh!Q149</f>
        <v>0</v>
      </c>
      <c r="Q8" s="444">
        <f>payesh!R149</f>
        <v>0</v>
      </c>
      <c r="R8" s="444">
        <f>payesh!S149</f>
        <v>0</v>
      </c>
      <c r="S8" s="444">
        <f>payesh!T149</f>
        <v>0</v>
      </c>
      <c r="T8" s="444">
        <f>payesh!U149</f>
        <v>0</v>
      </c>
      <c r="U8" s="444">
        <f>payesh!V149</f>
        <v>0</v>
      </c>
      <c r="V8" s="444">
        <f>payesh!W149</f>
        <v>0</v>
      </c>
      <c r="W8" s="444">
        <f>payesh!X149</f>
        <v>0</v>
      </c>
      <c r="X8" s="444">
        <f>payesh!Y149</f>
        <v>0</v>
      </c>
      <c r="Y8" s="444">
        <f>payesh!Z149</f>
        <v>0</v>
      </c>
      <c r="Z8" s="444">
        <f>payesh!AA149</f>
        <v>0</v>
      </c>
      <c r="AA8" s="444">
        <f>payesh!AB149</f>
        <v>0</v>
      </c>
      <c r="AB8" s="444">
        <f>payesh!AC149</f>
        <v>0</v>
      </c>
      <c r="AC8" s="444">
        <f>payesh!AD149</f>
        <v>0</v>
      </c>
      <c r="AD8" s="444">
        <f>payesh!AE149</f>
        <v>0</v>
      </c>
      <c r="AE8" s="444">
        <f>payesh!AF149</f>
        <v>0</v>
      </c>
      <c r="AF8" s="444">
        <f>payesh!AG149</f>
        <v>0</v>
      </c>
      <c r="AG8" s="444">
        <f>payesh!AH149</f>
        <v>0</v>
      </c>
      <c r="AH8" s="444">
        <f>payesh!AI149</f>
        <v>0</v>
      </c>
      <c r="AI8" s="444">
        <f>payesh!AJ149</f>
        <v>0</v>
      </c>
      <c r="AJ8" s="444">
        <f>payesh!AK149</f>
        <v>0</v>
      </c>
      <c r="AK8" s="444">
        <f>payesh!AL149</f>
        <v>0</v>
      </c>
      <c r="AL8" s="444">
        <f>payesh!AM149</f>
        <v>0</v>
      </c>
      <c r="AM8" s="444">
        <f>payesh!AN149</f>
        <v>0</v>
      </c>
      <c r="AN8" s="444">
        <f>payesh!AO149</f>
        <v>0</v>
      </c>
      <c r="AO8" s="444">
        <f>payesh!AP149</f>
        <v>0</v>
      </c>
      <c r="AP8" s="444">
        <f>payesh!AQ149</f>
        <v>0</v>
      </c>
      <c r="AQ8" s="444">
        <f>payesh!AR149</f>
        <v>0</v>
      </c>
      <c r="AR8" s="465">
        <f>COUNTIF(D8:AQ8,"ت1")</f>
        <v>0</v>
      </c>
      <c r="AS8" s="445">
        <f>Pardakhti!N8</f>
        <v>0</v>
      </c>
      <c r="AT8" s="446">
        <f>Pardakhti!O8</f>
        <v>0</v>
      </c>
      <c r="AU8" s="446">
        <f>Pardakhti!P8</f>
        <v>0</v>
      </c>
      <c r="AV8" s="463">
        <f>Pardakhti!Q8</f>
        <v>0</v>
      </c>
      <c r="AW8" s="471">
        <f t="shared" si="0"/>
        <v>0</v>
      </c>
      <c r="AX8" s="477">
        <f>COUNTIF(J8:AQ8,"ت1")</f>
        <v>0</v>
      </c>
      <c r="AY8" s="447">
        <f>Pardakhti!X8</f>
        <v>0</v>
      </c>
      <c r="AZ8" s="448">
        <f>Pardakhti!Y8</f>
        <v>0</v>
      </c>
      <c r="BA8" s="461">
        <f t="shared" si="1"/>
        <v>0</v>
      </c>
    </row>
    <row r="9" spans="2:53" ht="42.75" x14ac:dyDescent="0.4">
      <c r="B9" s="441">
        <v>4</v>
      </c>
      <c r="C9" s="442" t="s">
        <v>272</v>
      </c>
      <c r="D9" s="443">
        <f>payesh!E150</f>
        <v>0</v>
      </c>
      <c r="E9" s="444">
        <f>payesh!F150</f>
        <v>0</v>
      </c>
      <c r="F9" s="444">
        <f>payesh!G150</f>
        <v>0</v>
      </c>
      <c r="G9" s="444">
        <f>payesh!H150</f>
        <v>0</v>
      </c>
      <c r="H9" s="444">
        <f>payesh!I150</f>
        <v>0</v>
      </c>
      <c r="I9" s="444">
        <f>payesh!J150</f>
        <v>0</v>
      </c>
      <c r="J9" s="444">
        <f>payesh!K150</f>
        <v>0</v>
      </c>
      <c r="K9" s="444">
        <f>payesh!L150</f>
        <v>0</v>
      </c>
      <c r="L9" s="444">
        <f>payesh!M150</f>
        <v>0</v>
      </c>
      <c r="M9" s="444">
        <f>payesh!N150</f>
        <v>0</v>
      </c>
      <c r="N9" s="444">
        <f>payesh!O150</f>
        <v>0</v>
      </c>
      <c r="O9" s="444">
        <f>payesh!P150</f>
        <v>0</v>
      </c>
      <c r="P9" s="444">
        <f>payesh!Q150</f>
        <v>0</v>
      </c>
      <c r="Q9" s="444">
        <f>payesh!R150</f>
        <v>0</v>
      </c>
      <c r="R9" s="444">
        <f>payesh!S150</f>
        <v>0</v>
      </c>
      <c r="S9" s="444">
        <f>payesh!T150</f>
        <v>0</v>
      </c>
      <c r="T9" s="444">
        <f>payesh!U150</f>
        <v>0</v>
      </c>
      <c r="U9" s="444">
        <f>payesh!V150</f>
        <v>0</v>
      </c>
      <c r="V9" s="444">
        <f>payesh!W150</f>
        <v>0</v>
      </c>
      <c r="W9" s="444">
        <f>payesh!X150</f>
        <v>0</v>
      </c>
      <c r="X9" s="444">
        <f>payesh!Y150</f>
        <v>0</v>
      </c>
      <c r="Y9" s="444">
        <f>payesh!Z150</f>
        <v>0</v>
      </c>
      <c r="Z9" s="444">
        <f>payesh!AA150</f>
        <v>0</v>
      </c>
      <c r="AA9" s="444">
        <f>payesh!AB150</f>
        <v>0</v>
      </c>
      <c r="AB9" s="444">
        <f>payesh!AC150</f>
        <v>0</v>
      </c>
      <c r="AC9" s="444">
        <f>payesh!AD150</f>
        <v>0</v>
      </c>
      <c r="AD9" s="444">
        <f>payesh!AE150</f>
        <v>0</v>
      </c>
      <c r="AE9" s="444">
        <f>payesh!AF150</f>
        <v>0</v>
      </c>
      <c r="AF9" s="444">
        <f>payesh!AG150</f>
        <v>0</v>
      </c>
      <c r="AG9" s="444">
        <f>payesh!AH150</f>
        <v>0</v>
      </c>
      <c r="AH9" s="444">
        <f>payesh!AI150</f>
        <v>0</v>
      </c>
      <c r="AI9" s="444">
        <f>payesh!AJ150</f>
        <v>0</v>
      </c>
      <c r="AJ9" s="444">
        <f>payesh!AK150</f>
        <v>0</v>
      </c>
      <c r="AK9" s="444">
        <f>payesh!AL150</f>
        <v>0</v>
      </c>
      <c r="AL9" s="444">
        <f>payesh!AM150</f>
        <v>0</v>
      </c>
      <c r="AM9" s="444">
        <f>payesh!AN150</f>
        <v>0</v>
      </c>
      <c r="AN9" s="444">
        <f>payesh!AO150</f>
        <v>0</v>
      </c>
      <c r="AO9" s="444">
        <f>payesh!AP150</f>
        <v>0</v>
      </c>
      <c r="AP9" s="444">
        <f>payesh!AQ150</f>
        <v>0</v>
      </c>
      <c r="AQ9" s="444">
        <f>payesh!AR150</f>
        <v>0</v>
      </c>
      <c r="AR9" s="465">
        <f>COUNTIF(D9:AQ9,"ت7")</f>
        <v>0</v>
      </c>
      <c r="AS9" s="445">
        <f>Pardakhti!N9</f>
        <v>0</v>
      </c>
      <c r="AT9" s="446">
        <f>Pardakhti!O9</f>
        <v>0</v>
      </c>
      <c r="AU9" s="446">
        <f>Pardakhti!P9</f>
        <v>0</v>
      </c>
      <c r="AV9" s="463">
        <f>Pardakhti!Q9</f>
        <v>0</v>
      </c>
      <c r="AW9" s="471">
        <f t="shared" si="0"/>
        <v>0</v>
      </c>
      <c r="AX9" s="477">
        <f>COUNTIF(J9:AQ9,"ت7")</f>
        <v>0</v>
      </c>
      <c r="AY9" s="447">
        <f>Pardakhti!X9</f>
        <v>0</v>
      </c>
      <c r="AZ9" s="448">
        <f>Pardakhti!Y9</f>
        <v>0</v>
      </c>
      <c r="BA9" s="461">
        <f t="shared" si="1"/>
        <v>0</v>
      </c>
    </row>
    <row r="10" spans="2:53" ht="28.5" x14ac:dyDescent="0.4">
      <c r="B10" s="441">
        <v>5</v>
      </c>
      <c r="C10" s="442" t="s">
        <v>274</v>
      </c>
      <c r="D10" s="443">
        <f>payesh!E151</f>
        <v>0</v>
      </c>
      <c r="E10" s="444">
        <f>payesh!F151</f>
        <v>0</v>
      </c>
      <c r="F10" s="444">
        <f>payesh!G151</f>
        <v>0</v>
      </c>
      <c r="G10" s="444">
        <f>payesh!H151</f>
        <v>0</v>
      </c>
      <c r="H10" s="444">
        <f>payesh!I151</f>
        <v>0</v>
      </c>
      <c r="I10" s="444">
        <f>payesh!J151</f>
        <v>0</v>
      </c>
      <c r="J10" s="444">
        <f>payesh!K151</f>
        <v>0</v>
      </c>
      <c r="K10" s="444">
        <f>payesh!L151</f>
        <v>0</v>
      </c>
      <c r="L10" s="444">
        <f>payesh!M151</f>
        <v>0</v>
      </c>
      <c r="M10" s="444">
        <f>payesh!N151</f>
        <v>0</v>
      </c>
      <c r="N10" s="444">
        <f>payesh!O151</f>
        <v>0</v>
      </c>
      <c r="O10" s="444">
        <f>payesh!P151</f>
        <v>0</v>
      </c>
      <c r="P10" s="444">
        <f>payesh!Q151</f>
        <v>0</v>
      </c>
      <c r="Q10" s="444">
        <f>payesh!R151</f>
        <v>0</v>
      </c>
      <c r="R10" s="444">
        <f>payesh!S151</f>
        <v>0</v>
      </c>
      <c r="S10" s="444">
        <f>payesh!T151</f>
        <v>0</v>
      </c>
      <c r="T10" s="444">
        <f>payesh!U151</f>
        <v>0</v>
      </c>
      <c r="U10" s="444">
        <f>payesh!V151</f>
        <v>0</v>
      </c>
      <c r="V10" s="444">
        <f>payesh!W151</f>
        <v>0</v>
      </c>
      <c r="W10" s="444">
        <f>payesh!X151</f>
        <v>0</v>
      </c>
      <c r="X10" s="444">
        <f>payesh!Y151</f>
        <v>0</v>
      </c>
      <c r="Y10" s="444">
        <f>payesh!Z151</f>
        <v>0</v>
      </c>
      <c r="Z10" s="444">
        <f>payesh!AA151</f>
        <v>0</v>
      </c>
      <c r="AA10" s="444">
        <f>payesh!AB151</f>
        <v>0</v>
      </c>
      <c r="AB10" s="444">
        <f>payesh!AC151</f>
        <v>0</v>
      </c>
      <c r="AC10" s="444">
        <f>payesh!AD151</f>
        <v>0</v>
      </c>
      <c r="AD10" s="444">
        <f>payesh!AE151</f>
        <v>0</v>
      </c>
      <c r="AE10" s="444">
        <f>payesh!AF151</f>
        <v>0</v>
      </c>
      <c r="AF10" s="444">
        <f>payesh!AG151</f>
        <v>0</v>
      </c>
      <c r="AG10" s="444">
        <f>payesh!AH151</f>
        <v>0</v>
      </c>
      <c r="AH10" s="444">
        <f>payesh!AI151</f>
        <v>0</v>
      </c>
      <c r="AI10" s="444">
        <f>payesh!AJ151</f>
        <v>0</v>
      </c>
      <c r="AJ10" s="444">
        <f>payesh!AK151</f>
        <v>0</v>
      </c>
      <c r="AK10" s="444">
        <f>payesh!AL151</f>
        <v>0</v>
      </c>
      <c r="AL10" s="444">
        <f>payesh!AM151</f>
        <v>0</v>
      </c>
      <c r="AM10" s="444">
        <f>payesh!AN151</f>
        <v>0</v>
      </c>
      <c r="AN10" s="444">
        <f>payesh!AO151</f>
        <v>0</v>
      </c>
      <c r="AO10" s="444">
        <f>payesh!AP151</f>
        <v>0</v>
      </c>
      <c r="AP10" s="444">
        <f>payesh!AQ151</f>
        <v>0</v>
      </c>
      <c r="AQ10" s="444">
        <f>payesh!AR151</f>
        <v>0</v>
      </c>
      <c r="AR10" s="465">
        <f>COUNTIF(D10:AQ10,"ت9")</f>
        <v>0</v>
      </c>
      <c r="AS10" s="445">
        <f>Pardakhti!N10</f>
        <v>0</v>
      </c>
      <c r="AT10" s="446">
        <f>Pardakhti!O10</f>
        <v>0</v>
      </c>
      <c r="AU10" s="446">
        <f>Pardakhti!P10</f>
        <v>0</v>
      </c>
      <c r="AV10" s="463">
        <f>Pardakhti!Q10</f>
        <v>0</v>
      </c>
      <c r="AW10" s="471">
        <f t="shared" si="0"/>
        <v>0</v>
      </c>
      <c r="AX10" s="477">
        <f>COUNTIF(J10:AQ10,"ت9")</f>
        <v>0</v>
      </c>
      <c r="AY10" s="447">
        <f>Pardakhti!X10</f>
        <v>0</v>
      </c>
      <c r="AZ10" s="448">
        <f>Pardakhti!Y10</f>
        <v>0</v>
      </c>
      <c r="BA10" s="461">
        <f t="shared" si="1"/>
        <v>0</v>
      </c>
    </row>
    <row r="11" spans="2:53" ht="43.5" thickBot="1" x14ac:dyDescent="0.45">
      <c r="B11" s="449">
        <v>6</v>
      </c>
      <c r="C11" s="450" t="s">
        <v>429</v>
      </c>
      <c r="D11" s="451">
        <f>payesh!E152</f>
        <v>0</v>
      </c>
      <c r="E11" s="452">
        <f>payesh!F152</f>
        <v>0</v>
      </c>
      <c r="F11" s="452">
        <f>payesh!G152</f>
        <v>0</v>
      </c>
      <c r="G11" s="452">
        <f>payesh!H152</f>
        <v>0</v>
      </c>
      <c r="H11" s="452">
        <f>payesh!I152</f>
        <v>0</v>
      </c>
      <c r="I11" s="452">
        <f>payesh!J152</f>
        <v>0</v>
      </c>
      <c r="J11" s="452">
        <f>payesh!K152</f>
        <v>0</v>
      </c>
      <c r="K11" s="452">
        <f>payesh!L152</f>
        <v>0</v>
      </c>
      <c r="L11" s="452">
        <f>payesh!M152</f>
        <v>0</v>
      </c>
      <c r="M11" s="452">
        <f>payesh!N152</f>
        <v>0</v>
      </c>
      <c r="N11" s="452">
        <f>payesh!O152</f>
        <v>0</v>
      </c>
      <c r="O11" s="452">
        <f>payesh!P152</f>
        <v>0</v>
      </c>
      <c r="P11" s="452">
        <f>payesh!Q152</f>
        <v>0</v>
      </c>
      <c r="Q11" s="452">
        <f>payesh!R152</f>
        <v>0</v>
      </c>
      <c r="R11" s="452">
        <f>payesh!S152</f>
        <v>0</v>
      </c>
      <c r="S11" s="452">
        <f>payesh!T152</f>
        <v>0</v>
      </c>
      <c r="T11" s="452">
        <f>payesh!U152</f>
        <v>0</v>
      </c>
      <c r="U11" s="452">
        <f>payesh!V152</f>
        <v>0</v>
      </c>
      <c r="V11" s="452">
        <f>payesh!W152</f>
        <v>0</v>
      </c>
      <c r="W11" s="452">
        <f>payesh!X152</f>
        <v>0</v>
      </c>
      <c r="X11" s="452">
        <f>payesh!Y152</f>
        <v>0</v>
      </c>
      <c r="Y11" s="452">
        <f>payesh!Z152</f>
        <v>0</v>
      </c>
      <c r="Z11" s="452">
        <f>payesh!AA152</f>
        <v>0</v>
      </c>
      <c r="AA11" s="452">
        <f>payesh!AB152</f>
        <v>0</v>
      </c>
      <c r="AB11" s="452">
        <f>payesh!AC152</f>
        <v>0</v>
      </c>
      <c r="AC11" s="452">
        <f>payesh!AD152</f>
        <v>0</v>
      </c>
      <c r="AD11" s="452">
        <f>payesh!AE152</f>
        <v>0</v>
      </c>
      <c r="AE11" s="452">
        <f>payesh!AF152</f>
        <v>0</v>
      </c>
      <c r="AF11" s="452">
        <f>payesh!AG152</f>
        <v>0</v>
      </c>
      <c r="AG11" s="452">
        <f>payesh!AH152</f>
        <v>0</v>
      </c>
      <c r="AH11" s="452">
        <f>payesh!AI152</f>
        <v>0</v>
      </c>
      <c r="AI11" s="452">
        <f>payesh!AJ152</f>
        <v>0</v>
      </c>
      <c r="AJ11" s="452">
        <f>payesh!AK152</f>
        <v>0</v>
      </c>
      <c r="AK11" s="452">
        <f>payesh!AL152</f>
        <v>0</v>
      </c>
      <c r="AL11" s="452">
        <f>payesh!AM152</f>
        <v>0</v>
      </c>
      <c r="AM11" s="452">
        <f>payesh!AN152</f>
        <v>0</v>
      </c>
      <c r="AN11" s="452">
        <f>payesh!AO152</f>
        <v>0</v>
      </c>
      <c r="AO11" s="452">
        <f>payesh!AP152</f>
        <v>0</v>
      </c>
      <c r="AP11" s="452">
        <f>payesh!AQ152</f>
        <v>0</v>
      </c>
      <c r="AQ11" s="452">
        <f>payesh!AR152</f>
        <v>0</v>
      </c>
      <c r="AR11" s="469">
        <f>COUNTIF(D11:AQ11,"ت11")</f>
        <v>0</v>
      </c>
      <c r="AS11" s="453">
        <f>Pardakhti!N11</f>
        <v>0</v>
      </c>
      <c r="AT11" s="454">
        <f>Pardakhti!O11</f>
        <v>0</v>
      </c>
      <c r="AU11" s="454">
        <f>Pardakhti!P11</f>
        <v>0</v>
      </c>
      <c r="AV11" s="475">
        <f>Pardakhti!Q11</f>
        <v>0</v>
      </c>
      <c r="AW11" s="472">
        <f t="shared" si="0"/>
        <v>0</v>
      </c>
      <c r="AX11" s="478">
        <f>COUNTIF(J11:AQ11,"ت11")</f>
        <v>0</v>
      </c>
      <c r="AY11" s="455">
        <f>Pardakhti!X11</f>
        <v>0</v>
      </c>
      <c r="AZ11" s="456">
        <f>Pardakhti!Y11</f>
        <v>0</v>
      </c>
      <c r="BA11" s="479">
        <f t="shared" si="1"/>
        <v>0</v>
      </c>
    </row>
    <row r="12" spans="2:53" ht="19.5" thickBot="1" x14ac:dyDescent="0.45">
      <c r="B12" s="667" t="s">
        <v>106</v>
      </c>
      <c r="C12" s="670"/>
      <c r="D12" s="680"/>
      <c r="E12" s="680"/>
      <c r="F12" s="680"/>
      <c r="G12" s="680"/>
      <c r="H12" s="680"/>
      <c r="I12" s="680"/>
      <c r="J12" s="680"/>
      <c r="K12" s="680"/>
      <c r="L12" s="680"/>
      <c r="M12" s="680"/>
      <c r="N12" s="680"/>
      <c r="O12" s="680"/>
      <c r="P12" s="680"/>
      <c r="Q12" s="680"/>
      <c r="R12" s="680"/>
      <c r="S12" s="680"/>
      <c r="T12" s="680"/>
      <c r="U12" s="680"/>
      <c r="V12" s="680"/>
      <c r="W12" s="680"/>
      <c r="X12" s="680"/>
      <c r="Y12" s="680"/>
      <c r="Z12" s="680"/>
      <c r="AA12" s="680"/>
      <c r="AB12" s="680"/>
      <c r="AC12" s="680"/>
      <c r="AD12" s="680"/>
      <c r="AE12" s="680"/>
      <c r="AF12" s="680"/>
      <c r="AG12" s="680"/>
      <c r="AH12" s="680"/>
      <c r="AI12" s="680"/>
      <c r="AJ12" s="680"/>
      <c r="AK12" s="680"/>
      <c r="AL12" s="680"/>
      <c r="AM12" s="680"/>
      <c r="AN12" s="680"/>
      <c r="AO12" s="680"/>
      <c r="AP12" s="680"/>
      <c r="AQ12" s="680"/>
      <c r="AR12" s="468">
        <f>SUM(AR6:AR11)</f>
        <v>0</v>
      </c>
      <c r="AS12" s="473">
        <f t="shared" ref="AS12:AW12" si="2">SUM(AS6:AS11)</f>
        <v>0</v>
      </c>
      <c r="AT12" s="473">
        <f t="shared" si="2"/>
        <v>0</v>
      </c>
      <c r="AU12" s="473">
        <f t="shared" si="2"/>
        <v>0</v>
      </c>
      <c r="AV12" s="474">
        <f t="shared" si="2"/>
        <v>0</v>
      </c>
      <c r="AW12" s="466">
        <f t="shared" si="2"/>
        <v>0</v>
      </c>
      <c r="AX12" s="457">
        <f>SUM(AX6:AX11)</f>
        <v>0</v>
      </c>
      <c r="AY12" s="480">
        <f t="shared" ref="AY12:BA12" si="3">SUM(AY6:AY11)</f>
        <v>0</v>
      </c>
      <c r="AZ12" s="481">
        <f t="shared" si="3"/>
        <v>0</v>
      </c>
      <c r="BA12" s="467">
        <f t="shared" si="3"/>
        <v>0</v>
      </c>
    </row>
    <row r="13" spans="2:53" ht="19.5" thickBot="1" x14ac:dyDescent="0.45">
      <c r="B13" s="667" t="s">
        <v>430</v>
      </c>
      <c r="C13" s="668"/>
      <c r="D13" s="669"/>
      <c r="E13" s="670"/>
      <c r="F13" s="670"/>
      <c r="G13" s="670"/>
      <c r="H13" s="670"/>
      <c r="I13" s="670"/>
      <c r="J13" s="670"/>
      <c r="K13" s="670"/>
      <c r="L13" s="670"/>
      <c r="M13" s="670"/>
      <c r="N13" s="670"/>
      <c r="O13" s="670"/>
      <c r="P13" s="668"/>
      <c r="Q13" s="669" t="s">
        <v>227</v>
      </c>
      <c r="R13" s="670"/>
      <c r="S13" s="670"/>
      <c r="T13" s="670"/>
      <c r="U13" s="670"/>
      <c r="V13" s="670"/>
      <c r="W13" s="670"/>
      <c r="X13" s="670"/>
      <c r="Y13" s="670"/>
      <c r="Z13" s="670"/>
      <c r="AA13" s="670"/>
      <c r="AB13" s="670"/>
      <c r="AC13" s="670"/>
      <c r="AD13" s="670"/>
      <c r="AE13" s="670"/>
      <c r="AF13" s="670"/>
      <c r="AG13" s="670"/>
      <c r="AH13" s="670"/>
      <c r="AI13" s="670"/>
      <c r="AJ13" s="670"/>
      <c r="AK13" s="670"/>
      <c r="AL13" s="670"/>
      <c r="AM13" s="670"/>
      <c r="AN13" s="670"/>
      <c r="AO13" s="670"/>
      <c r="AP13" s="670"/>
      <c r="AQ13" s="670"/>
      <c r="AR13" s="671"/>
      <c r="AS13" s="672"/>
      <c r="AT13" s="673"/>
      <c r="AU13" s="673"/>
      <c r="AV13" s="673"/>
      <c r="AW13" s="674"/>
    </row>
    <row r="14" spans="2:53" ht="18" thickBot="1" x14ac:dyDescent="0.45"/>
    <row r="15" spans="2:53" ht="18.75" x14ac:dyDescent="0.4">
      <c r="B15" s="675" t="s">
        <v>431</v>
      </c>
      <c r="C15" s="676"/>
      <c r="D15" s="676"/>
      <c r="E15" s="676"/>
      <c r="F15" s="676"/>
      <c r="G15" s="676"/>
      <c r="H15" s="676"/>
      <c r="I15" s="676"/>
      <c r="J15" s="677"/>
      <c r="K15" s="678" t="s">
        <v>432</v>
      </c>
      <c r="L15" s="676"/>
      <c r="M15" s="676"/>
      <c r="N15" s="676"/>
      <c r="O15" s="676"/>
      <c r="P15" s="676"/>
      <c r="Q15" s="676"/>
      <c r="R15" s="676"/>
      <c r="S15" s="676"/>
      <c r="T15" s="676"/>
      <c r="U15" s="676"/>
      <c r="V15" s="676"/>
      <c r="W15" s="676"/>
      <c r="X15" s="676"/>
      <c r="Y15" s="676"/>
      <c r="Z15" s="676"/>
      <c r="AA15" s="676"/>
      <c r="AB15" s="676"/>
      <c r="AC15" s="676"/>
      <c r="AD15" s="676"/>
      <c r="AE15" s="676"/>
      <c r="AF15" s="676"/>
      <c r="AG15" s="676"/>
      <c r="AH15" s="676"/>
      <c r="AI15" s="676"/>
      <c r="AJ15" s="676"/>
      <c r="AK15" s="676"/>
      <c r="AL15" s="676"/>
      <c r="AM15" s="676"/>
      <c r="AN15" s="676"/>
      <c r="AO15" s="676"/>
      <c r="AP15" s="676"/>
      <c r="AQ15" s="676"/>
      <c r="AR15" s="676"/>
      <c r="AS15" s="677"/>
      <c r="AT15" s="678" t="s">
        <v>433</v>
      </c>
      <c r="AU15" s="676"/>
      <c r="AV15" s="676"/>
      <c r="AW15" s="679"/>
    </row>
    <row r="16" spans="2:53" ht="19.5" thickBot="1" x14ac:dyDescent="0.45">
      <c r="B16" s="660"/>
      <c r="C16" s="661"/>
      <c r="D16" s="661"/>
      <c r="E16" s="661"/>
      <c r="F16" s="661"/>
      <c r="G16" s="661"/>
      <c r="H16" s="661"/>
      <c r="I16" s="661"/>
      <c r="J16" s="662"/>
      <c r="K16" s="663"/>
      <c r="L16" s="661"/>
      <c r="M16" s="661"/>
      <c r="N16" s="661"/>
      <c r="O16" s="661"/>
      <c r="P16" s="661"/>
      <c r="Q16" s="661"/>
      <c r="R16" s="661"/>
      <c r="S16" s="661"/>
      <c r="T16" s="661"/>
      <c r="U16" s="661"/>
      <c r="V16" s="661"/>
      <c r="W16" s="661"/>
      <c r="X16" s="661"/>
      <c r="Y16" s="661"/>
      <c r="Z16" s="661"/>
      <c r="AA16" s="661"/>
      <c r="AB16" s="661"/>
      <c r="AC16" s="661"/>
      <c r="AD16" s="661"/>
      <c r="AE16" s="661"/>
      <c r="AF16" s="661"/>
      <c r="AG16" s="661"/>
      <c r="AH16" s="661"/>
      <c r="AI16" s="661"/>
      <c r="AJ16" s="661"/>
      <c r="AK16" s="661"/>
      <c r="AL16" s="661"/>
      <c r="AM16" s="661"/>
      <c r="AN16" s="661"/>
      <c r="AO16" s="661"/>
      <c r="AP16" s="661"/>
      <c r="AQ16" s="661"/>
      <c r="AR16" s="661"/>
      <c r="AS16" s="662"/>
      <c r="AT16" s="664"/>
      <c r="AU16" s="665"/>
      <c r="AV16" s="665"/>
      <c r="AW16" s="666"/>
    </row>
  </sheetData>
  <sheetProtection algorithmName="SHA-512" hashValue="NvsXYu8TNDIlMbkgS2BDrRybR/YLdNIhyy6aT06CsdG3OSc4PldWM0Z0vJ2TnECOX30GN5qmbH7+8104cklHVg==" saltValue="ZYWQruGjqdQ8fRWIY/3Nvg==" spinCount="100000" sheet="1" objects="1" scenarios="1"/>
  <mergeCells count="26">
    <mergeCell ref="AX3:BA3"/>
    <mergeCell ref="AR4:AR5"/>
    <mergeCell ref="AS4:AS5"/>
    <mergeCell ref="AT4:AT5"/>
    <mergeCell ref="AU4:AU5"/>
    <mergeCell ref="AV4:AV5"/>
    <mergeCell ref="AX4:AX5"/>
    <mergeCell ref="AY4:AY5"/>
    <mergeCell ref="AZ4:AZ5"/>
    <mergeCell ref="BA4:BA5"/>
    <mergeCell ref="B12:AQ12"/>
    <mergeCell ref="B2:AW2"/>
    <mergeCell ref="B3:B5"/>
    <mergeCell ref="C3:C5"/>
    <mergeCell ref="AR3:AW3"/>
    <mergeCell ref="AW4:AW5"/>
    <mergeCell ref="B16:J16"/>
    <mergeCell ref="K16:AS16"/>
    <mergeCell ref="AT16:AW16"/>
    <mergeCell ref="B13:C13"/>
    <mergeCell ref="D13:P13"/>
    <mergeCell ref="Q13:AR13"/>
    <mergeCell ref="AS13:AW13"/>
    <mergeCell ref="B15:J15"/>
    <mergeCell ref="K15:AS15"/>
    <mergeCell ref="AT15:AW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2016-12-21T05:14:59Z</dcterms:modified>
</cp:coreProperties>
</file>